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5" activeTab="7"/>
  </bookViews>
  <sheets>
    <sheet name="кальк" sheetId="1" r:id="rId1"/>
    <sheet name="Утверждаю" sheetId="2" r:id="rId2"/>
    <sheet name="имущ" sheetId="3" r:id="rId3"/>
    <sheet name="хозяйственные" sheetId="4" r:id="rId4"/>
    <sheet name="По кодам" sheetId="5" r:id="rId5"/>
    <sheet name="Расчет субсидии" sheetId="6" r:id="rId6"/>
    <sheet name="Расчет норматива на 2012г." sheetId="7" r:id="rId7"/>
    <sheet name="Материалы" sheetId="8" r:id="rId8"/>
    <sheet name="Расч.коммун.услуг" sheetId="9" r:id="rId9"/>
    <sheet name="Зар. плата" sheetId="10" r:id="rId10"/>
    <sheet name="Начисления на зар. плату." sheetId="11" r:id="rId11"/>
    <sheet name="тарификация" sheetId="12" r:id="rId12"/>
    <sheet name="род плата" sheetId="13" r:id="rId13"/>
  </sheets>
  <externalReferences>
    <externalReference r:id="rId16"/>
    <externalReference r:id="rId17"/>
    <externalReference r:id="rId18"/>
  </externalReferences>
  <definedNames>
    <definedName name="_xlnm.Print_Area" localSheetId="0">'кальк'!$A$1:$H$210</definedName>
    <definedName name="_xlnm.Print_Area" localSheetId="4">'По кодам'!$A$1:$J$54</definedName>
    <definedName name="_xlnm.Print_Area" localSheetId="1">'Утверждаю'!$A$1:$H$63</definedName>
  </definedNames>
  <calcPr fullCalcOnLoad="1"/>
</workbook>
</file>

<file path=xl/sharedStrings.xml><?xml version="1.0" encoding="utf-8"?>
<sst xmlns="http://schemas.openxmlformats.org/spreadsheetml/2006/main" count="794" uniqueCount="494">
  <si>
    <t>Наименование должности</t>
  </si>
  <si>
    <t>Зар. Плата основных работников</t>
  </si>
  <si>
    <t>кол-во ставок</t>
  </si>
  <si>
    <t>Мин. Оклад</t>
  </si>
  <si>
    <t>Районный коэф.</t>
  </si>
  <si>
    <t>Северная надбавка</t>
  </si>
  <si>
    <t>ФОТ в месяц</t>
  </si>
  <si>
    <t>Стимулирующие выплаты 25%</t>
  </si>
  <si>
    <t>Доплаты за совмещение по данным бухгалтерии 15%</t>
  </si>
  <si>
    <t>Годовой ФОТ на 2012г.</t>
  </si>
  <si>
    <t>2015 год</t>
  </si>
  <si>
    <t>2013 год</t>
  </si>
  <si>
    <t>2014 год</t>
  </si>
  <si>
    <t>Индекс дефлятор</t>
  </si>
  <si>
    <t>Зар. Плата учебно-вспомогательного персонала</t>
  </si>
  <si>
    <t>Зар. Плата административно-управленческого персонала</t>
  </si>
  <si>
    <t>Зар. Плата обслуживающего персонала</t>
  </si>
  <si>
    <t>Воспитатель</t>
  </si>
  <si>
    <t>Инструктор ФИЗО</t>
  </si>
  <si>
    <t>Музыкальный руководитель</t>
  </si>
  <si>
    <t>Педагог - психолог</t>
  </si>
  <si>
    <t>Учитель - логопед</t>
  </si>
  <si>
    <t>Заведующий</t>
  </si>
  <si>
    <t>Зам. заведующего по ВМР</t>
  </si>
  <si>
    <t>Делопроизводитель</t>
  </si>
  <si>
    <t>Кассир</t>
  </si>
  <si>
    <t>Рабочий по стирке и ремонту белья</t>
  </si>
  <si>
    <t>Помощник воспитателя</t>
  </si>
  <si>
    <t>Подсобный рабочий</t>
  </si>
  <si>
    <t>Кладовщик</t>
  </si>
  <si>
    <t>Грузчик</t>
  </si>
  <si>
    <t>Сторож</t>
  </si>
  <si>
    <t>Дворник</t>
  </si>
  <si>
    <t>Уборщик служебных помещений</t>
  </si>
  <si>
    <t>Рабочий по комплексному обслуживанию и ремонту зданий</t>
  </si>
  <si>
    <t>Кастелянша</t>
  </si>
  <si>
    <t>ИТОГО ФОТ:</t>
  </si>
  <si>
    <t>ИТОГО:</t>
  </si>
  <si>
    <t>1. Расчет норматива затрат на оплату труда.</t>
  </si>
  <si>
    <t>2. Расчет норматива затрат начислений на оплату труда.</t>
  </si>
  <si>
    <t>2012 год</t>
  </si>
  <si>
    <t>Годовой ФОТ.</t>
  </si>
  <si>
    <t>Начисления на заработную плату.</t>
  </si>
  <si>
    <t>Показатели</t>
  </si>
  <si>
    <t>На выполнение муниципального задания</t>
  </si>
  <si>
    <t xml:space="preserve">Ассигнования </t>
  </si>
  <si>
    <t>Заработная плата основного персонала</t>
  </si>
  <si>
    <t>Заработная плата административно-управленческого персонала</t>
  </si>
  <si>
    <t>Заработная плата учебно-вспомогательного персонала</t>
  </si>
  <si>
    <t>Заработная плата обслуживающего персонала</t>
  </si>
  <si>
    <t>Начисления на заработную плату основного персонала</t>
  </si>
  <si>
    <t>Начисления на заработную плату административно-управленческого персонала</t>
  </si>
  <si>
    <t>Начисления на заработную плату учебно-вспомогательного персонала</t>
  </si>
  <si>
    <t>Начисления на заработную плату обслуживающего персонала</t>
  </si>
  <si>
    <t>Электроэнергия</t>
  </si>
  <si>
    <t>Теплоэнергия</t>
  </si>
  <si>
    <t>Командировочные расходы</t>
  </si>
  <si>
    <t>Услуги связи</t>
  </si>
  <si>
    <t>Транспортные услуги</t>
  </si>
  <si>
    <t>Откачка</t>
  </si>
  <si>
    <t>Холодная вода</t>
  </si>
  <si>
    <t>Вывоз ТБО</t>
  </si>
  <si>
    <t>Дератизация, дезинсекция</t>
  </si>
  <si>
    <t>Обслуживание АПС</t>
  </si>
  <si>
    <t>Обслуживание кнопки тревожной сигнализации</t>
  </si>
  <si>
    <t>Мед. Осмотр</t>
  </si>
  <si>
    <t>Подписка</t>
  </si>
  <si>
    <t>Сан минимум</t>
  </si>
  <si>
    <t>Смывы и обследования Центра гигиены</t>
  </si>
  <si>
    <t>ФГУП "Охрана"</t>
  </si>
  <si>
    <t>Медикаменты</t>
  </si>
  <si>
    <t>Мягкий инвентарь</t>
  </si>
  <si>
    <t>Посуда</t>
  </si>
  <si>
    <t>Канцтовары</t>
  </si>
  <si>
    <t>Продукты питания</t>
  </si>
  <si>
    <t>Моющее</t>
  </si>
  <si>
    <t>Прочие хоз. Товары (тряпки,  метла и т.д.)</t>
  </si>
  <si>
    <t>Заработная плата</t>
  </si>
  <si>
    <t>Начисления на заработную плату</t>
  </si>
  <si>
    <t>Прочие выплаты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</si>
  <si>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</si>
  <si>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</si>
  <si>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</si>
  <si>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</si>
  <si>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материальных запасов</t>
  </si>
  <si>
    <t>Итого:</t>
  </si>
  <si>
    <t>Затраты, непосредственно связанные с оказанием услуги</t>
  </si>
  <si>
    <t>Затраты на общехозяйственные нужды</t>
  </si>
  <si>
    <t>Затраты на содержание имущества</t>
  </si>
  <si>
    <t>Норматив затрат на 1 единицу услуги.</t>
  </si>
  <si>
    <t>Коэффициент индексации</t>
  </si>
  <si>
    <t>Затраты, непосредственно связанные с оказанием услуги, руб.</t>
  </si>
  <si>
    <t>Затраты на общехозяйственные нужды, руб.</t>
  </si>
  <si>
    <t>Затраты на содержание имущества, руб.</t>
  </si>
  <si>
    <t>ВСЕГО начислений на оплату труда:</t>
  </si>
  <si>
    <t>Бинты</t>
  </si>
  <si>
    <t>Вата</t>
  </si>
  <si>
    <t>Ватные палочки</t>
  </si>
  <si>
    <t>Витамины</t>
  </si>
  <si>
    <t>Лейкопластырь</t>
  </si>
  <si>
    <t>Марля</t>
  </si>
  <si>
    <t>Маска медицинская</t>
  </si>
  <si>
    <t>Таблетки</t>
  </si>
  <si>
    <t>Термометр</t>
  </si>
  <si>
    <t>Шпатель дер.</t>
  </si>
  <si>
    <t>Шприц</t>
  </si>
  <si>
    <t>Наименование</t>
  </si>
  <si>
    <t>Количество</t>
  </si>
  <si>
    <t>Цена</t>
  </si>
  <si>
    <t>Сумма</t>
  </si>
  <si>
    <t>Ткань половая</t>
  </si>
  <si>
    <t>Бак</t>
  </si>
  <si>
    <t>Ведра</t>
  </si>
  <si>
    <t>Таз</t>
  </si>
  <si>
    <t>Ложки</t>
  </si>
  <si>
    <t>Вилки</t>
  </si>
  <si>
    <t>Нож</t>
  </si>
  <si>
    <t>Доска разделочная</t>
  </si>
  <si>
    <t>Кружка</t>
  </si>
  <si>
    <t>Поварежка</t>
  </si>
  <si>
    <t>Чайник</t>
  </si>
  <si>
    <t>Сковорода</t>
  </si>
  <si>
    <t>Кастрюля</t>
  </si>
  <si>
    <t>Канц.товары</t>
  </si>
  <si>
    <t>Бумага</t>
  </si>
  <si>
    <t>Мультифора</t>
  </si>
  <si>
    <t>Папка-регистратор</t>
  </si>
  <si>
    <t>Ручка</t>
  </si>
  <si>
    <t>Скобы</t>
  </si>
  <si>
    <t>Скоросшиватель</t>
  </si>
  <si>
    <t>Скотч</t>
  </si>
  <si>
    <t>Скрепки</t>
  </si>
  <si>
    <t>Штрих</t>
  </si>
  <si>
    <t>Тетрадь</t>
  </si>
  <si>
    <t>Белизна</t>
  </si>
  <si>
    <t>Порошок</t>
  </si>
  <si>
    <t>Чистящее</t>
  </si>
  <si>
    <t>Мыло туал.</t>
  </si>
  <si>
    <t>Мыло хоз.</t>
  </si>
  <si>
    <t>Губка для посуды</t>
  </si>
  <si>
    <t>Отбеливатель</t>
  </si>
  <si>
    <t xml:space="preserve">Тонер </t>
  </si>
  <si>
    <t>Картридж</t>
  </si>
  <si>
    <t>Диски</t>
  </si>
  <si>
    <t>Кабель</t>
  </si>
  <si>
    <t>Лампа люмин.</t>
  </si>
  <si>
    <t>Эл. Лампочки</t>
  </si>
  <si>
    <t>Эл. Розетка</t>
  </si>
  <si>
    <t>Эл. Патрон</t>
  </si>
  <si>
    <t>светильник</t>
  </si>
  <si>
    <t>Прочие хоз.материалы</t>
  </si>
  <si>
    <t>Клавиатура</t>
  </si>
  <si>
    <t>Мышь</t>
  </si>
  <si>
    <t>Веник</t>
  </si>
  <si>
    <t>Изолента</t>
  </si>
  <si>
    <t>Метла</t>
  </si>
  <si>
    <t>Мешки для мусора</t>
  </si>
  <si>
    <t>Перчатки</t>
  </si>
  <si>
    <t>Ручка дверная</t>
  </si>
  <si>
    <t>Щетка для пола</t>
  </si>
  <si>
    <t>Шпингалет</t>
  </si>
  <si>
    <t>Удлинитель</t>
  </si>
  <si>
    <t>Грабли</t>
  </si>
  <si>
    <t>Лопата</t>
  </si>
  <si>
    <t>Материальные запасы.</t>
  </si>
  <si>
    <t>Сумма субсидии на выполнение муниципального задания.</t>
  </si>
  <si>
    <t>Норматив затрат на 1 единицу услуги без учета родительской платы</t>
  </si>
  <si>
    <t>Родительская плата</t>
  </si>
  <si>
    <t>Расчет норматива затрат на хоз.стоки</t>
  </si>
  <si>
    <t>Наименование учреждения</t>
  </si>
  <si>
    <t>Расчет затрат на теплоэнергетические ресурсы.</t>
  </si>
  <si>
    <t>отопление</t>
  </si>
  <si>
    <t>подпиток</t>
  </si>
  <si>
    <t>Расчет затрат на электрическую энергию.</t>
  </si>
  <si>
    <t>Наименование электроприбора</t>
  </si>
  <si>
    <t>Кол-во, шт.</t>
  </si>
  <si>
    <t>Мощность, вт.</t>
  </si>
  <si>
    <t>Общая мощность, кВт.</t>
  </si>
  <si>
    <t>Время работы, часов в год</t>
  </si>
  <si>
    <t>Потребление в год, кВт/часов</t>
  </si>
  <si>
    <t>Цена за 1 кВт/ч, руб.</t>
  </si>
  <si>
    <t>Сумма, руб.</t>
  </si>
  <si>
    <t>Эл. Лампы</t>
  </si>
  <si>
    <t>Люмин. Лампы</t>
  </si>
  <si>
    <t>Компьютер</t>
  </si>
  <si>
    <t>Принтер</t>
  </si>
  <si>
    <t>Расчет норматива затрат на водопотребление.</t>
  </si>
  <si>
    <t>Ед. потребления</t>
  </si>
  <si>
    <t>кол-во</t>
  </si>
  <si>
    <t>норма</t>
  </si>
  <si>
    <t>дни</t>
  </si>
  <si>
    <t>часы</t>
  </si>
  <si>
    <t>Объем</t>
  </si>
  <si>
    <t>Сотрудники</t>
  </si>
  <si>
    <t>Холодильники</t>
  </si>
  <si>
    <t>Пылесос</t>
  </si>
  <si>
    <t>Унитаз со смывным бачком</t>
  </si>
  <si>
    <t xml:space="preserve">СВОД ЗАТРАТ ПО КОДАМ </t>
  </si>
  <si>
    <t>КОСГУ</t>
  </si>
  <si>
    <t>Вид расходов</t>
  </si>
  <si>
    <t>Наименование услуги, работы</t>
  </si>
  <si>
    <t>Итого</t>
  </si>
  <si>
    <t>Оплата услуг тефонной связи</t>
  </si>
  <si>
    <t>Оплата услуг сотовой связи</t>
  </si>
  <si>
    <t>Оплата услуг почтовой связи</t>
  </si>
  <si>
    <t>Транспортные расходы учреждения</t>
  </si>
  <si>
    <t>Тепловая энергия</t>
  </si>
  <si>
    <t>Электрическая энергия</t>
  </si>
  <si>
    <t>Водопотребление</t>
  </si>
  <si>
    <t>Хоз.стоки</t>
  </si>
  <si>
    <t>Арендная плата</t>
  </si>
  <si>
    <t>Налоги, транспортный налог</t>
  </si>
  <si>
    <t>Материалы в прямых расходах</t>
  </si>
  <si>
    <t>Итого финансовое обеспечение на оказание услуг, выполнение работ</t>
  </si>
  <si>
    <t>проверка</t>
  </si>
  <si>
    <t>СМЕТА ЗАТРАТ НА ОБЩЕХОЗЯЙСТВЕННЫЕ РАСХОДЫ</t>
  </si>
  <si>
    <t>Проверка</t>
  </si>
  <si>
    <t>Основная заработная плата (основание распределения общехоз.расходов)</t>
  </si>
  <si>
    <t>Суточные на коммандировки</t>
  </si>
  <si>
    <t>Начисления на з/п адм.-упр. персонала</t>
  </si>
  <si>
    <t>Начисления на з/п обсл. персонала</t>
  </si>
  <si>
    <t>ВСЕГО ОБЩЕХОЗЯЙСТВЕННЫХ</t>
  </si>
  <si>
    <t>Основная заработная плата (основание распределения расходов по содержанию имущества)</t>
  </si>
  <si>
    <t>индекс цен</t>
  </si>
  <si>
    <t>Прямые затраты на оказание услуги, выполнение работы:</t>
  </si>
  <si>
    <t>Заработная плата основных рабочих</t>
  </si>
  <si>
    <t>Затраты на коммандировочные расходы</t>
  </si>
  <si>
    <t>Начисления на оплату труда основных рабочих</t>
  </si>
  <si>
    <t>Услуги сторонних организаций:</t>
  </si>
  <si>
    <t>Прочие услуги:</t>
  </si>
  <si>
    <t>Транспортный налог</t>
  </si>
  <si>
    <t>Материальные затраты:</t>
  </si>
  <si>
    <t>Прочие материалы</t>
  </si>
  <si>
    <t>Заработная плата:</t>
  </si>
  <si>
    <t>Начисления на заработную плату:</t>
  </si>
  <si>
    <t>Связь:</t>
  </si>
  <si>
    <t>Коммунальные расходы:</t>
  </si>
  <si>
    <t>Затраты на содержание имущества:</t>
  </si>
  <si>
    <t>Коммунальные затраты:</t>
  </si>
  <si>
    <t>Итого затрат на выполнение муниципального задания</t>
  </si>
  <si>
    <t>(с применением индекса-дефлятора)</t>
  </si>
  <si>
    <t>УТВЕРЖДАЮ</t>
  </si>
  <si>
    <t>Нормативные затраты на общехозяйственные нужды</t>
  </si>
  <si>
    <t>руб. за ед.</t>
  </si>
  <si>
    <t>ед.</t>
  </si>
  <si>
    <t>руб.</t>
  </si>
  <si>
    <t>ВСЕГО</t>
  </si>
  <si>
    <t>Услуги</t>
  </si>
  <si>
    <t>Объем муниципальных услуг</t>
  </si>
  <si>
    <t>Себестоимость единицы услуги</t>
  </si>
  <si>
    <t>Доходы от оказания услуг, выполнения работ</t>
  </si>
  <si>
    <t>Норма потребления продуктов питания в день на 1-го ребенка</t>
  </si>
  <si>
    <t>Кол-во детодней в году</t>
  </si>
  <si>
    <t>Сумма ден средств на продукты питания в год</t>
  </si>
  <si>
    <t>Кол-во детей</t>
  </si>
  <si>
    <t>Затраты на 1-го ребенка в мес.</t>
  </si>
  <si>
    <t>Расчет нормативных затрат на 2013 год</t>
  </si>
  <si>
    <t>Найм жилья при служебных командировках</t>
  </si>
  <si>
    <t>Налоги</t>
  </si>
  <si>
    <t>Приобретение грамот</t>
  </si>
  <si>
    <t>Расчет субсидии на выполнение муниципального задания на 2013-2015г.г.</t>
  </si>
  <si>
    <t>Жидкость для стекол</t>
  </si>
  <si>
    <t>Масляный радиатор</t>
  </si>
  <si>
    <t>Облучатель бактерицидный</t>
  </si>
  <si>
    <t>Телевизор</t>
  </si>
  <si>
    <t>Дети</t>
  </si>
  <si>
    <t>Плата</t>
  </si>
  <si>
    <t>детей</t>
  </si>
  <si>
    <t>лето</t>
  </si>
  <si>
    <t>зима</t>
  </si>
  <si>
    <t>Род плата</t>
  </si>
  <si>
    <t>МБДОУ "Детский сад № 15"</t>
  </si>
  <si>
    <t>Ковровое покрытие</t>
  </si>
  <si>
    <t>Фартуки</t>
  </si>
  <si>
    <t>Скатерти</t>
  </si>
  <si>
    <t>Халат</t>
  </si>
  <si>
    <t>Шторы тюль</t>
  </si>
  <si>
    <t>Шторы портьера</t>
  </si>
  <si>
    <t>Блюдца</t>
  </si>
  <si>
    <t xml:space="preserve">Тарелки </t>
  </si>
  <si>
    <t>Замок врезной</t>
  </si>
  <si>
    <t>Шурупы</t>
  </si>
  <si>
    <t>Гвозди</t>
  </si>
  <si>
    <t>Лампа ЛБ</t>
  </si>
  <si>
    <t>Выключатель</t>
  </si>
  <si>
    <t>Полотенца</t>
  </si>
  <si>
    <t>Верхонки</t>
  </si>
  <si>
    <t>Сотейник</t>
  </si>
  <si>
    <t>Баки пищевые</t>
  </si>
  <si>
    <t>Ведро эмалированное</t>
  </si>
  <si>
    <t>Стекло</t>
  </si>
  <si>
    <t>Обои</t>
  </si>
  <si>
    <t xml:space="preserve">Клей </t>
  </si>
  <si>
    <t>Шпатлевка</t>
  </si>
  <si>
    <t>Известь</t>
  </si>
  <si>
    <t>Сизы</t>
  </si>
  <si>
    <t>Шланги</t>
  </si>
  <si>
    <t>Сместители</t>
  </si>
  <si>
    <t>Комфорки для эл.печи</t>
  </si>
  <si>
    <t>Саморезы</t>
  </si>
  <si>
    <t>Поставщик: Зиматеплоэнерго</t>
  </si>
  <si>
    <t>Эл. Лампы уличные</t>
  </si>
  <si>
    <t>Печь эл. Типа ПЭ</t>
  </si>
  <si>
    <t>Электрокотел</t>
  </si>
  <si>
    <t>Измельчитель овощей</t>
  </si>
  <si>
    <t>Холодильник двухкамерный</t>
  </si>
  <si>
    <t>Витрина холодильная</t>
  </si>
  <si>
    <t>Приточно-вытяжная вентиляция</t>
  </si>
  <si>
    <t>Стиральная машина</t>
  </si>
  <si>
    <t>Электроутюг</t>
  </si>
  <si>
    <t>Эл.синтезатор</t>
  </si>
  <si>
    <t>Настенный эл.радиатор</t>
  </si>
  <si>
    <t>Умывальник, рукомойник со сместителем</t>
  </si>
  <si>
    <t>Мойка со сместителем (кухонная)</t>
  </si>
  <si>
    <t>Ванна со сместителем</t>
  </si>
  <si>
    <t>Инструктор ЛФК</t>
  </si>
  <si>
    <t>Зам. заведующего по ХР</t>
  </si>
  <si>
    <t>Шеф-повар</t>
  </si>
  <si>
    <t>Повар 5р.</t>
  </si>
  <si>
    <t>Слесарь-сантехник</t>
  </si>
  <si>
    <t>Швея</t>
  </si>
  <si>
    <t>Приобретение книгоиздательской продукции</t>
  </si>
  <si>
    <t>Поверка весов</t>
  </si>
  <si>
    <t>Объем муниципальной услуги, дето/дн.</t>
  </si>
  <si>
    <t>группы общеразвивающие</t>
  </si>
  <si>
    <t>логопедические группы</t>
  </si>
  <si>
    <t>Согласовано</t>
  </si>
  <si>
    <t xml:space="preserve">Начальник Управления образования </t>
  </si>
  <si>
    <t xml:space="preserve">Заведующий   МБДОУ "ДС № 15"  </t>
  </si>
  <si>
    <t>________________  Л.М. Кулеева</t>
  </si>
  <si>
    <t>_____________ Т.А. Рубцова</t>
  </si>
  <si>
    <t>" 26 " сентября 2012 г.</t>
  </si>
  <si>
    <t>"26 " сентября 2012 г.</t>
  </si>
  <si>
    <t>Тарификационый список МБДОУ  "ДС № 15"  с 1 октября 2012 г. по 31 августа 2013 года.</t>
  </si>
  <si>
    <t>№</t>
  </si>
  <si>
    <t>Ф.И.О.</t>
  </si>
  <si>
    <t>должность</t>
  </si>
  <si>
    <t>Образование</t>
  </si>
  <si>
    <t>Наименование документа об бразовании, его номер и дата выдачи</t>
  </si>
  <si>
    <t>стаж пед.работы</t>
  </si>
  <si>
    <t>Вид наград</t>
  </si>
  <si>
    <t>категория дата аттестации</t>
  </si>
  <si>
    <t>категория</t>
  </si>
  <si>
    <t>Минимальный оклад</t>
  </si>
  <si>
    <t>ППК за квалификационую категорию</t>
  </si>
  <si>
    <t>ППК за стаж и образование</t>
  </si>
  <si>
    <t>ДПК за звание</t>
  </si>
  <si>
    <t>ППК за сложнось и важность работы</t>
  </si>
  <si>
    <t>Итого должностной оклад</t>
  </si>
  <si>
    <t>за ГМО</t>
  </si>
  <si>
    <t>Доплатыза логопед.гр.</t>
  </si>
  <si>
    <t>за кабинет</t>
  </si>
  <si>
    <t>% коэффиц.</t>
  </si>
  <si>
    <t xml:space="preserve">З/плата по ставке </t>
  </si>
  <si>
    <t xml:space="preserve">за ГМО </t>
  </si>
  <si>
    <t>коэф.в руб.</t>
  </si>
  <si>
    <t>Итого начислено</t>
  </si>
  <si>
    <t>роспись</t>
  </si>
  <si>
    <t>Рубцова Татьяна Алексеевна</t>
  </si>
  <si>
    <t>заведующий</t>
  </si>
  <si>
    <t>высш.</t>
  </si>
  <si>
    <t>Д.ВСБ№0760278 от 22,12,04</t>
  </si>
  <si>
    <t>№ 65 от 28.03.08</t>
  </si>
  <si>
    <t>воспитатель</t>
  </si>
  <si>
    <t>№ 17 от 16.12.08</t>
  </si>
  <si>
    <t>Михайлова Светлана Андреевна</t>
  </si>
  <si>
    <t>Замест. Заведующ.</t>
  </si>
  <si>
    <t>ср.спец.</t>
  </si>
  <si>
    <t>Д. №448542 от 7.07.65.</t>
  </si>
  <si>
    <t xml:space="preserve">отличник </t>
  </si>
  <si>
    <t>Спасибко Наталья Николаевна</t>
  </si>
  <si>
    <t>педагог-психолог</t>
  </si>
  <si>
    <t>ВСГ 5823262 от 15,06,11</t>
  </si>
  <si>
    <t>№ 132 от 16.11.09</t>
  </si>
  <si>
    <t>Усова  Марина  Васильевна</t>
  </si>
  <si>
    <t>учитель - логопед</t>
  </si>
  <si>
    <t>Д.АБС №0354816 от 20.06.98. ИГПУ</t>
  </si>
  <si>
    <t>№ 120 от 24.04.09</t>
  </si>
  <si>
    <t>Товкач Елена Сергеевна</t>
  </si>
  <si>
    <t>учитель - логопед (совместит.)</t>
  </si>
  <si>
    <t>Д.ПВ №358904 от 04.06.88.</t>
  </si>
  <si>
    <t>№ 388 от 16.12.10</t>
  </si>
  <si>
    <t>Березовская Наталья Владимировна</t>
  </si>
  <si>
    <t>муз.рук</t>
  </si>
  <si>
    <t>ДРТ №176969 от 26.06.91.</t>
  </si>
  <si>
    <t>Карелина Ирина Александровна</t>
  </si>
  <si>
    <t>муз.рук (совмести.)</t>
  </si>
  <si>
    <t>инстр.физо</t>
  </si>
  <si>
    <t>Ильина Ирина Владимировна</t>
  </si>
  <si>
    <t>СБ № 0591565 от 1998 г.</t>
  </si>
  <si>
    <t>№ 15 от 19.02.2010</t>
  </si>
  <si>
    <t>Огибенина Елена Сергеевна</t>
  </si>
  <si>
    <t>ВСВ 1140839 от 28.06.06</t>
  </si>
  <si>
    <t>Гафурова Ирина Владимировна</t>
  </si>
  <si>
    <t>Д БТ № 519556 от 05.07.77.</t>
  </si>
  <si>
    <t>Ерохина Ирина Степановна</t>
  </si>
  <si>
    <t>Д.ЗВ № 390514 от 04.04.83. ИГПУ</t>
  </si>
  <si>
    <t>Костикова Ирина Александровна</t>
  </si>
  <si>
    <t>БВС 0502220 от 17.03.2000</t>
  </si>
  <si>
    <t>№ 148 от 17.10.10</t>
  </si>
  <si>
    <t>Михайлова Оксана Викторовна</t>
  </si>
  <si>
    <t>СБ № 3451654 от 23.04.03</t>
  </si>
  <si>
    <t>Перчаткина Ольга Петровна</t>
  </si>
  <si>
    <t>Я № 288646 от 29.12.88</t>
  </si>
  <si>
    <t>№ 313 от 23.12.09</t>
  </si>
  <si>
    <t>Мицук Вероника Викторовна</t>
  </si>
  <si>
    <t>АК №1218495 от 17.06.2005</t>
  </si>
  <si>
    <t>№218 от 16.12.08</t>
  </si>
  <si>
    <t>Сосипатрова Ирина Юрьевна</t>
  </si>
  <si>
    <t>Д.№ 284960 от 05.07.96.</t>
  </si>
  <si>
    <t>16.12.10 № 388</t>
  </si>
  <si>
    <t>Чубарова Светлана Антоновна</t>
  </si>
  <si>
    <t>Д.Н.№ 448787 от 26.06.66.</t>
  </si>
  <si>
    <t>отличник образов.</t>
  </si>
  <si>
    <t>Петрова Людмила Аркадьевна</t>
  </si>
  <si>
    <t>ср.сп</t>
  </si>
  <si>
    <t>38 ПА 000998 от 14.04.08</t>
  </si>
  <si>
    <t>Ярославцева Ольга Ивановна</t>
  </si>
  <si>
    <t>ДТ-1 № 015451 от 03.07..82.</t>
  </si>
  <si>
    <t>№ 92 от 28.04.08</t>
  </si>
  <si>
    <t>вакансия</t>
  </si>
  <si>
    <t>Гуназа Марина Анатольевна</t>
  </si>
  <si>
    <t>СТ 113193 от 03.07.92 Саянское медучилище</t>
  </si>
  <si>
    <t>Храмова Татьяна Николаевна</t>
  </si>
  <si>
    <t>Д-РТ № 176569 от 19.07.92 Ангарское педучилище</t>
  </si>
  <si>
    <t>Смолина Елена Николаевна</t>
  </si>
  <si>
    <t>Д. 38 ПА 0002493 от 24.04.09 Иркутский педколледж</t>
  </si>
  <si>
    <t>№ 218 от 16.12.08</t>
  </si>
  <si>
    <t>Виниченко Ольга Станиславовна</t>
  </si>
  <si>
    <t>ВСА 0763995 от 15.12.09</t>
  </si>
  <si>
    <t xml:space="preserve">16.12.10 № 388 </t>
  </si>
  <si>
    <t>Николаева Наталья Сергеевна (ДО)</t>
  </si>
  <si>
    <t>ср.сп.</t>
  </si>
  <si>
    <t>№ 129 ОТ 28.12.10</t>
  </si>
  <si>
    <t xml:space="preserve">инструктор ЛФК </t>
  </si>
  <si>
    <t>С 862694 от 28.06.68</t>
  </si>
  <si>
    <t>№ 9726 от 03.03.09</t>
  </si>
  <si>
    <t>ВК</t>
  </si>
  <si>
    <t>Синицина Ольга Викторовна</t>
  </si>
  <si>
    <t>38 ПА 0000 632 от 20.06.2009</t>
  </si>
  <si>
    <t>Потапова Людмила Николаевна (ДО)</t>
  </si>
  <si>
    <t>Нечаева Светлана Сергеевна (до)</t>
  </si>
  <si>
    <t>средняя</t>
  </si>
  <si>
    <t xml:space="preserve">Ященко Екатерина Павловна </t>
  </si>
  <si>
    <t>среднее</t>
  </si>
  <si>
    <t>итого:</t>
  </si>
  <si>
    <t>Начальник отдела по анализу и прогнозированию экономического развития</t>
  </si>
  <si>
    <t>Е.Г. Бойко</t>
  </si>
  <si>
    <t>ЗП по ставкам</t>
  </si>
  <si>
    <t>численность основных работников</t>
  </si>
  <si>
    <t>численность совместителей</t>
  </si>
  <si>
    <t>базовый оклад</t>
  </si>
  <si>
    <t>ПК</t>
  </si>
  <si>
    <t>итого должностной оклад</t>
  </si>
  <si>
    <t>общеразвив</t>
  </si>
  <si>
    <t>логопед</t>
  </si>
  <si>
    <t>администрация</t>
  </si>
  <si>
    <t>в мес</t>
  </si>
  <si>
    <t>в год</t>
  </si>
  <si>
    <t>Стимулирующие</t>
  </si>
  <si>
    <t>общая группа</t>
  </si>
  <si>
    <t>логопедическая</t>
  </si>
  <si>
    <t>Реализация общеобразовательной программы дошкольного образования в группах общеразвивающей направленности</t>
  </si>
  <si>
    <t>группы общей направленности</t>
  </si>
  <si>
    <t>Утверждено:</t>
  </si>
  <si>
    <t>постановлением администрации ЗГМО</t>
  </si>
  <si>
    <t>Общехозяйственные расходы:</t>
  </si>
  <si>
    <t>Приложение № 2</t>
  </si>
  <si>
    <t>Нормативы затрат на оказание</t>
  </si>
  <si>
    <t>муниципальных услуг, работ и нормативы затрат на содержание имущества на 2015 год.</t>
  </si>
  <si>
    <t>Доходы учреждения от оказания услуг (родительская плата)</t>
  </si>
  <si>
    <t>Доходы учреждения (родительская плата)</t>
  </si>
  <si>
    <t>Наименование муниципальной услуги (работы)</t>
  </si>
  <si>
    <t>Нормативные затраты, непосредственно связанные с оказанием муниципальной услуги, работы</t>
  </si>
  <si>
    <t>Итого нормативные затраты на оказание муниципальной услуги, работы.</t>
  </si>
  <si>
    <t>Объем муниципальной услуги, работы</t>
  </si>
  <si>
    <t>Сумма финансового обеспечения выполнения муниципального задания</t>
  </si>
  <si>
    <t>Строительные материалы</t>
  </si>
  <si>
    <t>муниципальных услуг, работ и нормативы затрат на содержание имущества на 2016 год.</t>
  </si>
  <si>
    <t>Содержание ребенка</t>
  </si>
  <si>
    <t>итого</t>
  </si>
  <si>
    <t>Группы кратковременного сод</t>
  </si>
  <si>
    <t>муниципальных услуг, работ и нормативы затрат на содержание имущества на 2017 год.</t>
  </si>
  <si>
    <t>муниципальной бюджетной дошкольной образовательной организации "Детский сад № 15"</t>
  </si>
  <si>
    <t>КАЛЬКУЛЯЦИЯ ЗАТРАТ ПО ВИДАМ ОКАЗЫВАЕМЫХ УСЛУГ И ВЫПОЛНЯЕМЫХ РАБОТ МУНИЦИПАЛЬНОЙ БЮДЖЕТНОЙ ДОШКОЛЬНОЙ ОБРАЗОВАТЕЛЬНОЙ ОРГАНИЗАЦИИ "ДЕТСКИЙ САД № 15" НА 2015 ГОД</t>
  </si>
  <si>
    <t>КАЛЬКУЛЯЦИЯ ЗАТРАТ ПО ВИДАМ ОКАЗЫВАЕМЫХ УСЛУГ И ВЫПОЛНЯЕМЫХ РАБОТ МУНИЦИПАЛЬНОЙ БЮДЖЕТНОЙ ДОШКОЛЬНОЙ ОБРАЗОВАТЕЛЬНОЙ ОРГАНИЗАЦИИ "ДЕТСКИЙ САД № 15" НА 2016 ГОД</t>
  </si>
  <si>
    <t>КАЛЬКУЛЯЦИЯ ЗАТРАТ ПО ВИДАМ ОКАЗЫВАЕМЫХ УСЛУГ И ВЫПОЛНЯЕМЫХ РАБОТ МУНИЦИПАЛЬНОЙ БЮДЖЕТНОЙ ДОШКОЛЬНОЙ ОБРАЗОВАТЕЛЬНОЙ ОРГАНИЗАЦИИ "ДЕТСКИЙ САД № 15" НА 2017 ГОД</t>
  </si>
  <si>
    <t>Реализация общеобразовательной программы дошкольного образования в компенсирующих группах</t>
  </si>
  <si>
    <t>Присмотр и уход за детьми, осваивающими образовательные программы в образовательных организациях в группах полного дня</t>
  </si>
  <si>
    <t>Присмотр и уход за детьми, осваивающими образовательные программы в образовательных организациях в группах кратковременного пребывания</t>
  </si>
  <si>
    <t>от_______2015 г. №______</t>
  </si>
  <si>
    <t>Договора ГПХ</t>
  </si>
  <si>
    <t>Утилизация</t>
  </si>
  <si>
    <t>Факт 2014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</si>
</sst>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0.00000"/>
    <numFmt numFmtId="184" formatCode="0.000000"/>
  </numFmts>
  <fonts count="6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0"/>
    </font>
    <font>
      <sz val="7"/>
      <name val="Arial"/>
      <family val="0"/>
    </font>
    <font>
      <b/>
      <sz val="8"/>
      <name val="Arial Cyr"/>
      <family val="2"/>
    </font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8"/>
      <name val="Arial Cyr"/>
      <family val="2"/>
    </font>
    <font>
      <i/>
      <sz val="10"/>
      <name val="Arial Cyr"/>
      <family val="0"/>
    </font>
    <font>
      <b/>
      <i/>
      <sz val="14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wrapText="1"/>
    </xf>
    <xf numFmtId="2" fontId="0" fillId="0" borderId="12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 horizontal="left"/>
    </xf>
    <xf numFmtId="2" fontId="1" fillId="0" borderId="0" xfId="0" applyNumberFormat="1" applyFont="1" applyAlignment="1">
      <alignment/>
    </xf>
    <xf numFmtId="2" fontId="1" fillId="32" borderId="1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1" fillId="32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1" fontId="0" fillId="0" borderId="10" xfId="0" applyNumberFormat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0" fillId="0" borderId="10" xfId="0" applyFont="1" applyBorder="1" applyAlignment="1">
      <alignment wrapText="1"/>
    </xf>
    <xf numFmtId="1" fontId="0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wrapText="1"/>
    </xf>
    <xf numFmtId="1" fontId="0" fillId="33" borderId="10" xfId="0" applyNumberFormat="1" applyFill="1" applyBorder="1" applyAlignment="1">
      <alignment horizontal="center"/>
    </xf>
    <xf numFmtId="1" fontId="0" fillId="33" borderId="0" xfId="0" applyNumberFormat="1" applyFill="1" applyAlignment="1">
      <alignment/>
    </xf>
    <xf numFmtId="1" fontId="0" fillId="0" borderId="10" xfId="0" applyNumberFormat="1" applyBorder="1" applyAlignment="1">
      <alignment wrapText="1"/>
    </xf>
    <xf numFmtId="1" fontId="1" fillId="0" borderId="10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1" fontId="0" fillId="33" borderId="10" xfId="0" applyNumberFormat="1" applyFont="1" applyFill="1" applyBorder="1" applyAlignment="1">
      <alignment horizontal="center"/>
    </xf>
    <xf numFmtId="180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 wrapText="1"/>
    </xf>
    <xf numFmtId="2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0" fillId="0" borderId="10" xfId="0" applyFill="1" applyBorder="1" applyAlignment="1">
      <alignment wrapText="1"/>
    </xf>
    <xf numFmtId="1" fontId="0" fillId="0" borderId="10" xfId="0" applyNumberForma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" fontId="1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2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2" fontId="0" fillId="34" borderId="1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9" fillId="0" borderId="0" xfId="55" applyFont="1" applyFill="1" applyBorder="1" applyAlignment="1">
      <alignment horizontal="center"/>
      <protection/>
    </xf>
    <xf numFmtId="0" fontId="11" fillId="0" borderId="0" xfId="53" applyFont="1" applyFill="1" applyBorder="1" applyAlignment="1">
      <alignment horizontal="left"/>
      <protection/>
    </xf>
    <xf numFmtId="0" fontId="12" fillId="0" borderId="0" xfId="55" applyFont="1" applyFill="1" applyBorder="1" applyAlignment="1">
      <alignment horizontal="left"/>
      <protection/>
    </xf>
    <xf numFmtId="0" fontId="12" fillId="0" borderId="0" xfId="55" applyFont="1" applyFill="1" applyBorder="1">
      <alignment/>
      <protection/>
    </xf>
    <xf numFmtId="0" fontId="12" fillId="0" borderId="0" xfId="55" applyFont="1" applyFill="1" applyAlignment="1">
      <alignment horizontal="center"/>
      <protection/>
    </xf>
    <xf numFmtId="0" fontId="12" fillId="0" borderId="0" xfId="55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0" fontId="13" fillId="0" borderId="0" xfId="55" applyFont="1" applyBorder="1">
      <alignment/>
      <protection/>
    </xf>
    <xf numFmtId="0" fontId="13" fillId="0" borderId="0" xfId="55" applyFont="1" applyBorder="1" applyAlignment="1">
      <alignment horizontal="center"/>
      <protection/>
    </xf>
    <xf numFmtId="0" fontId="11" fillId="0" borderId="0" xfId="55" applyFont="1" applyFill="1" applyAlignment="1">
      <alignment horizontal="left"/>
      <protection/>
    </xf>
    <xf numFmtId="1" fontId="13" fillId="0" borderId="0" xfId="55" applyNumberFormat="1" applyFont="1" applyBorder="1" applyAlignment="1">
      <alignment horizontal="center"/>
      <protection/>
    </xf>
    <xf numFmtId="0" fontId="11" fillId="0" borderId="0" xfId="55" applyFont="1" applyFill="1" applyBorder="1" applyAlignment="1">
      <alignment horizontal="center"/>
      <protection/>
    </xf>
    <xf numFmtId="2" fontId="11" fillId="0" borderId="0" xfId="55" applyNumberFormat="1" applyFont="1" applyFill="1" applyBorder="1">
      <alignment/>
      <protection/>
    </xf>
    <xf numFmtId="0" fontId="11" fillId="0" borderId="0" xfId="0" applyFont="1" applyAlignment="1">
      <alignment/>
    </xf>
    <xf numFmtId="0" fontId="12" fillId="0" borderId="0" xfId="54" applyFont="1" applyFill="1" applyBorder="1">
      <alignment/>
      <protection/>
    </xf>
    <xf numFmtId="0" fontId="13" fillId="0" borderId="0" xfId="54" applyFont="1" applyBorder="1" applyAlignment="1">
      <alignment horizontal="left" wrapText="1"/>
      <protection/>
    </xf>
    <xf numFmtId="0" fontId="11" fillId="0" borderId="0" xfId="54" applyFont="1" applyFill="1" applyBorder="1" applyAlignment="1">
      <alignment horizontal="left"/>
      <protection/>
    </xf>
    <xf numFmtId="0" fontId="11" fillId="0" borderId="0" xfId="55" applyFont="1" applyFill="1" applyBorder="1">
      <alignment/>
      <protection/>
    </xf>
    <xf numFmtId="2" fontId="11" fillId="0" borderId="0" xfId="55" applyNumberFormat="1" applyFont="1" applyFill="1" applyBorder="1" applyAlignment="1">
      <alignment horizontal="center"/>
      <protection/>
    </xf>
    <xf numFmtId="0" fontId="11" fillId="0" borderId="0" xfId="54" applyFont="1" applyFill="1" applyBorder="1" applyAlignment="1">
      <alignment horizontal="center"/>
      <protection/>
    </xf>
    <xf numFmtId="0" fontId="14" fillId="0" borderId="0" xfId="55" applyFont="1" applyBorder="1" applyAlignment="1">
      <alignment horizontal="left"/>
      <protection/>
    </xf>
    <xf numFmtId="4" fontId="13" fillId="0" borderId="0" xfId="55" applyNumberFormat="1" applyFont="1" applyBorder="1" applyAlignment="1">
      <alignment horizontal="center"/>
      <protection/>
    </xf>
    <xf numFmtId="0" fontId="12" fillId="0" borderId="0" xfId="55" applyFont="1" applyFill="1" applyBorder="1" applyAlignment="1">
      <alignment horizontal="left" wrapText="1"/>
      <protection/>
    </xf>
    <xf numFmtId="2" fontId="12" fillId="0" borderId="0" xfId="55" applyNumberFormat="1" applyFont="1" applyFill="1" applyBorder="1" applyAlignment="1">
      <alignment horizontal="center"/>
      <protection/>
    </xf>
    <xf numFmtId="2" fontId="13" fillId="0" borderId="0" xfId="56" applyNumberFormat="1" applyFont="1" applyBorder="1" applyAlignment="1">
      <alignment horizontal="center"/>
      <protection/>
    </xf>
    <xf numFmtId="2" fontId="15" fillId="0" borderId="0" xfId="56" applyNumberFormat="1" applyFont="1" applyBorder="1" applyAlignment="1">
      <alignment horizontal="center"/>
      <protection/>
    </xf>
    <xf numFmtId="0" fontId="14" fillId="0" borderId="0" xfId="56" applyFont="1" applyBorder="1" applyAlignment="1">
      <alignment horizontal="center"/>
      <protection/>
    </xf>
    <xf numFmtId="0" fontId="13" fillId="0" borderId="0" xfId="56" applyFont="1" applyBorder="1" applyAlignment="1">
      <alignment horizontal="center"/>
      <protection/>
    </xf>
    <xf numFmtId="3" fontId="13" fillId="0" borderId="0" xfId="56" applyNumberFormat="1" applyFont="1" applyBorder="1" applyAlignment="1">
      <alignment horizontal="center"/>
      <protection/>
    </xf>
    <xf numFmtId="0" fontId="16" fillId="0" borderId="0" xfId="55" applyFont="1" applyFill="1" applyBorder="1" applyAlignment="1">
      <alignment horizontal="center"/>
      <protection/>
    </xf>
    <xf numFmtId="0" fontId="16" fillId="0" borderId="0" xfId="55" applyFont="1" applyFill="1" applyBorder="1">
      <alignment/>
      <protection/>
    </xf>
    <xf numFmtId="0" fontId="17" fillId="0" borderId="0" xfId="55" applyFont="1" applyFill="1" applyBorder="1" applyAlignment="1" quotePrefix="1">
      <alignment horizontal="left"/>
      <protection/>
    </xf>
    <xf numFmtId="2" fontId="16" fillId="0" borderId="0" xfId="55" applyNumberFormat="1" applyFont="1" applyFill="1" applyBorder="1" applyAlignment="1">
      <alignment horizontal="center"/>
      <protection/>
    </xf>
    <xf numFmtId="2" fontId="18" fillId="0" borderId="0" xfId="56" applyNumberFormat="1" applyFont="1" applyBorder="1" applyAlignment="1">
      <alignment horizontal="center"/>
      <protection/>
    </xf>
    <xf numFmtId="0" fontId="19" fillId="0" borderId="0" xfId="56" applyFont="1" applyBorder="1" applyAlignment="1">
      <alignment horizontal="center"/>
      <protection/>
    </xf>
    <xf numFmtId="0" fontId="20" fillId="0" borderId="0" xfId="56" applyFont="1" applyBorder="1" applyAlignment="1">
      <alignment horizontal="center"/>
      <protection/>
    </xf>
    <xf numFmtId="0" fontId="18" fillId="0" borderId="0" xfId="56" applyFont="1" applyBorder="1" applyAlignment="1">
      <alignment horizontal="center"/>
      <protection/>
    </xf>
    <xf numFmtId="3" fontId="18" fillId="0" borderId="0" xfId="56" applyNumberFormat="1" applyFont="1" applyBorder="1" applyAlignment="1">
      <alignment horizontal="center"/>
      <protection/>
    </xf>
    <xf numFmtId="0" fontId="18" fillId="0" borderId="0" xfId="56" applyFont="1" applyBorder="1" applyAlignment="1" quotePrefix="1">
      <alignment horizontal="left"/>
      <protection/>
    </xf>
    <xf numFmtId="0" fontId="12" fillId="0" borderId="10" xfId="54" applyFont="1" applyFill="1" applyBorder="1" applyAlignment="1">
      <alignment horizontal="center" vertical="center" wrapText="1"/>
      <protection/>
    </xf>
    <xf numFmtId="0" fontId="12" fillId="0" borderId="10" xfId="58" applyFont="1" applyFill="1" applyBorder="1" applyAlignment="1">
      <alignment horizontal="center" vertical="center" wrapText="1"/>
      <protection/>
    </xf>
    <xf numFmtId="0" fontId="12" fillId="0" borderId="10" xfId="59" applyFont="1" applyFill="1" applyBorder="1" applyAlignment="1">
      <alignment horizontal="center" vertical="center" wrapText="1"/>
      <protection/>
    </xf>
    <xf numFmtId="0" fontId="12" fillId="0" borderId="10" xfId="55" applyFont="1" applyFill="1" applyBorder="1" applyAlignment="1">
      <alignment horizontal="center" vertical="center" wrapText="1"/>
      <protection/>
    </xf>
    <xf numFmtId="2" fontId="12" fillId="0" borderId="10" xfId="54" applyNumberFormat="1" applyFont="1" applyFill="1" applyBorder="1" applyAlignment="1">
      <alignment horizontal="center" vertical="center" wrapText="1"/>
      <protection/>
    </xf>
    <xf numFmtId="0" fontId="13" fillId="0" borderId="10" xfId="56" applyFont="1" applyBorder="1" applyAlignment="1">
      <alignment horizontal="center" vertical="center" wrapText="1"/>
      <protection/>
    </xf>
    <xf numFmtId="0" fontId="13" fillId="18" borderId="10" xfId="56" applyFont="1" applyFill="1" applyBorder="1" applyAlignment="1">
      <alignment horizontal="center" vertical="center" wrapText="1"/>
      <protection/>
    </xf>
    <xf numFmtId="0" fontId="13" fillId="0" borderId="10" xfId="57" applyFont="1" applyBorder="1" applyAlignment="1">
      <alignment horizontal="center" vertical="center" wrapText="1"/>
      <protection/>
    </xf>
    <xf numFmtId="0" fontId="14" fillId="0" borderId="10" xfId="56" applyFont="1" applyBorder="1" applyAlignment="1">
      <alignment horizontal="center" vertical="center" wrapText="1"/>
      <protection/>
    </xf>
    <xf numFmtId="3" fontId="13" fillId="0" borderId="10" xfId="56" applyNumberFormat="1" applyFont="1" applyBorder="1" applyAlignment="1">
      <alignment horizontal="center" vertical="center" wrapText="1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2" fillId="0" borderId="10" xfId="56" applyFont="1" applyBorder="1" applyAlignment="1">
      <alignment horizontal="center" vertical="center" wrapText="1"/>
      <protection/>
    </xf>
    <xf numFmtId="0" fontId="9" fillId="0" borderId="11" xfId="54" applyFont="1" applyFill="1" applyBorder="1" applyAlignment="1">
      <alignment horizontal="center" vertical="center"/>
      <protection/>
    </xf>
    <xf numFmtId="0" fontId="12" fillId="0" borderId="11" xfId="54" applyFont="1" applyFill="1" applyBorder="1" applyAlignment="1">
      <alignment horizontal="left" vertical="center" wrapText="1"/>
      <protection/>
    </xf>
    <xf numFmtId="0" fontId="12" fillId="0" borderId="10" xfId="54" applyFont="1" applyFill="1" applyBorder="1" applyAlignment="1">
      <alignment horizontal="center"/>
      <protection/>
    </xf>
    <xf numFmtId="0" fontId="12" fillId="0" borderId="10" xfId="54" applyFont="1" applyFill="1" applyBorder="1">
      <alignment/>
      <protection/>
    </xf>
    <xf numFmtId="0" fontId="12" fillId="0" borderId="11" xfId="54" applyFont="1" applyFill="1" applyBorder="1" applyAlignment="1">
      <alignment horizontal="center" vertical="center" wrapText="1"/>
      <protection/>
    </xf>
    <xf numFmtId="1" fontId="12" fillId="0" borderId="10" xfId="67" applyNumberFormat="1" applyFont="1" applyFill="1" applyBorder="1" applyAlignment="1">
      <alignment/>
    </xf>
    <xf numFmtId="1" fontId="12" fillId="0" borderId="10" xfId="67" applyNumberFormat="1" applyFont="1" applyFill="1" applyBorder="1" applyAlignment="1">
      <alignment horizontal="right"/>
    </xf>
    <xf numFmtId="1" fontId="12" fillId="0" borderId="10" xfId="67" applyNumberFormat="1" applyFont="1" applyFill="1" applyBorder="1" applyAlignment="1">
      <alignment horizontal="center" wrapText="1"/>
    </xf>
    <xf numFmtId="0" fontId="12" fillId="0" borderId="10" xfId="54" applyFont="1" applyFill="1" applyBorder="1" applyAlignment="1">
      <alignment horizontal="center" wrapText="1"/>
      <protection/>
    </xf>
    <xf numFmtId="2" fontId="12" fillId="0" borderId="10" xfId="67" applyNumberFormat="1" applyFont="1" applyFill="1" applyBorder="1" applyAlignment="1">
      <alignment horizontal="center"/>
    </xf>
    <xf numFmtId="2" fontId="12" fillId="0" borderId="10" xfId="67" applyNumberFormat="1" applyFont="1" applyBorder="1" applyAlignment="1">
      <alignment horizontal="center"/>
    </xf>
    <xf numFmtId="2" fontId="13" fillId="0" borderId="10" xfId="67" applyNumberFormat="1" applyFont="1" applyBorder="1" applyAlignment="1">
      <alignment horizontal="center"/>
    </xf>
    <xf numFmtId="1" fontId="13" fillId="18" borderId="10" xfId="56" applyNumberFormat="1" applyFont="1" applyFill="1" applyBorder="1" applyAlignment="1">
      <alignment horizontal="center"/>
      <protection/>
    </xf>
    <xf numFmtId="0" fontId="13" fillId="0" borderId="10" xfId="56" applyFont="1" applyBorder="1">
      <alignment/>
      <protection/>
    </xf>
    <xf numFmtId="1" fontId="13" fillId="0" borderId="10" xfId="56" applyNumberFormat="1" applyFont="1" applyBorder="1" applyAlignment="1">
      <alignment horizontal="center"/>
      <protection/>
    </xf>
    <xf numFmtId="1" fontId="12" fillId="0" borderId="10" xfId="67" applyNumberFormat="1" applyFont="1" applyFill="1" applyBorder="1" applyAlignment="1">
      <alignment horizontal="center"/>
    </xf>
    <xf numFmtId="1" fontId="13" fillId="0" borderId="10" xfId="67" applyNumberFormat="1" applyFont="1" applyBorder="1" applyAlignment="1">
      <alignment horizontal="center"/>
    </xf>
    <xf numFmtId="4" fontId="13" fillId="0" borderId="10" xfId="67" applyNumberFormat="1" applyFont="1" applyBorder="1" applyAlignment="1">
      <alignment horizontal="center"/>
    </xf>
    <xf numFmtId="4" fontId="13" fillId="0" borderId="10" xfId="56" applyNumberFormat="1" applyFont="1" applyBorder="1" applyAlignment="1">
      <alignment horizontal="center"/>
      <protection/>
    </xf>
    <xf numFmtId="0" fontId="13" fillId="0" borderId="10" xfId="56" applyFont="1" applyBorder="1" applyAlignment="1">
      <alignment horizontal="center"/>
      <protection/>
    </xf>
    <xf numFmtId="0" fontId="12" fillId="0" borderId="10" xfId="53" applyFont="1" applyBorder="1" applyAlignment="1">
      <alignment horizontal="center" wrapText="1"/>
      <protection/>
    </xf>
    <xf numFmtId="0" fontId="12" fillId="0" borderId="11" xfId="54" applyFont="1" applyFill="1" applyBorder="1" applyAlignment="1">
      <alignment horizontal="center" wrapText="1"/>
      <protection/>
    </xf>
    <xf numFmtId="0" fontId="12" fillId="0" borderId="10" xfId="54" applyFont="1" applyFill="1" applyBorder="1" applyAlignment="1">
      <alignment/>
      <protection/>
    </xf>
    <xf numFmtId="0" fontId="12" fillId="0" borderId="10" xfId="54" applyFont="1" applyFill="1" applyBorder="1" applyAlignment="1">
      <alignment wrapText="1"/>
      <protection/>
    </xf>
    <xf numFmtId="2" fontId="12" fillId="0" borderId="10" xfId="54" applyNumberFormat="1" applyFont="1" applyFill="1" applyBorder="1" applyAlignment="1">
      <alignment horizontal="center"/>
      <protection/>
    </xf>
    <xf numFmtId="2" fontId="13" fillId="0" borderId="10" xfId="56" applyNumberFormat="1" applyFont="1" applyBorder="1" applyAlignment="1">
      <alignment horizontal="center"/>
      <protection/>
    </xf>
    <xf numFmtId="1" fontId="15" fillId="0" borderId="10" xfId="56" applyNumberFormat="1" applyFont="1" applyBorder="1" applyAlignment="1">
      <alignment horizontal="center"/>
      <protection/>
    </xf>
    <xf numFmtId="1" fontId="12" fillId="0" borderId="10" xfId="55" applyNumberFormat="1" applyFont="1" applyFill="1" applyBorder="1" applyAlignment="1">
      <alignment horizontal="center"/>
      <protection/>
    </xf>
    <xf numFmtId="1" fontId="13" fillId="35" borderId="10" xfId="56" applyNumberFormat="1" applyFont="1" applyFill="1" applyBorder="1" applyAlignment="1">
      <alignment horizontal="center"/>
      <protection/>
    </xf>
    <xf numFmtId="0" fontId="9" fillId="0" borderId="10" xfId="54" applyFont="1" applyFill="1" applyBorder="1" applyAlignment="1">
      <alignment horizontal="center" vertical="center"/>
      <protection/>
    </xf>
    <xf numFmtId="0" fontId="12" fillId="0" borderId="10" xfId="54" applyFont="1" applyFill="1" applyBorder="1" applyAlignment="1">
      <alignment horizontal="left" vertical="center" wrapText="1"/>
      <protection/>
    </xf>
    <xf numFmtId="0" fontId="14" fillId="0" borderId="10" xfId="0" applyFont="1" applyFill="1" applyBorder="1" applyAlignment="1">
      <alignment horizontal="left" vertical="center" wrapText="1"/>
    </xf>
    <xf numFmtId="2" fontId="13" fillId="18" borderId="10" xfId="56" applyNumberFormat="1" applyFont="1" applyFill="1" applyBorder="1" applyAlignment="1">
      <alignment horizontal="center"/>
      <protection/>
    </xf>
    <xf numFmtId="0" fontId="9" fillId="0" borderId="10" xfId="54" applyFont="1" applyFill="1" applyBorder="1" applyAlignment="1">
      <alignment horizontal="center"/>
      <protection/>
    </xf>
    <xf numFmtId="0" fontId="12" fillId="0" borderId="10" xfId="54" applyFont="1" applyFill="1" applyBorder="1" applyAlignment="1">
      <alignment horizontal="left" wrapText="1"/>
      <protection/>
    </xf>
    <xf numFmtId="0" fontId="12" fillId="0" borderId="10" xfId="57" applyFont="1" applyBorder="1" applyAlignment="1">
      <alignment horizontal="center" wrapText="1"/>
      <protection/>
    </xf>
    <xf numFmtId="0" fontId="9" fillId="33" borderId="10" xfId="54" applyFont="1" applyFill="1" applyBorder="1" applyAlignment="1">
      <alignment horizontal="center"/>
      <protection/>
    </xf>
    <xf numFmtId="0" fontId="12" fillId="35" borderId="10" xfId="58" applyFont="1" applyFill="1" applyBorder="1" applyAlignment="1">
      <alignment horizontal="left" wrapText="1"/>
      <protection/>
    </xf>
    <xf numFmtId="181" fontId="12" fillId="0" borderId="10" xfId="55" applyNumberFormat="1" applyFont="1" applyFill="1" applyBorder="1" applyAlignment="1">
      <alignment horizontal="center"/>
      <protection/>
    </xf>
    <xf numFmtId="1" fontId="13" fillId="0" borderId="10" xfId="56" applyNumberFormat="1" applyFont="1" applyFill="1" applyBorder="1" applyAlignment="1">
      <alignment horizontal="center"/>
      <protection/>
    </xf>
    <xf numFmtId="2" fontId="13" fillId="0" borderId="10" xfId="56" applyNumberFormat="1" applyFont="1" applyFill="1" applyBorder="1" applyAlignment="1">
      <alignment horizontal="center"/>
      <protection/>
    </xf>
    <xf numFmtId="0" fontId="12" fillId="0" borderId="15" xfId="54" applyFont="1" applyFill="1" applyBorder="1" applyAlignment="1">
      <alignment vertical="center" wrapText="1"/>
      <protection/>
    </xf>
    <xf numFmtId="1" fontId="12" fillId="0" borderId="10" xfId="54" applyNumberFormat="1" applyFont="1" applyFill="1" applyBorder="1" applyAlignment="1">
      <alignment horizontal="center"/>
      <protection/>
    </xf>
    <xf numFmtId="0" fontId="9" fillId="0" borderId="15" xfId="54" applyFont="1" applyFill="1" applyBorder="1" applyAlignment="1">
      <alignment vertical="center"/>
      <protection/>
    </xf>
    <xf numFmtId="0" fontId="9" fillId="0" borderId="11" xfId="54" applyFont="1" applyFill="1" applyBorder="1" applyAlignment="1">
      <alignment horizontal="center"/>
      <protection/>
    </xf>
    <xf numFmtId="0" fontId="12" fillId="0" borderId="11" xfId="54" applyFont="1" applyFill="1" applyBorder="1" applyAlignment="1">
      <alignment horizontal="center" vertical="center"/>
      <protection/>
    </xf>
    <xf numFmtId="2" fontId="15" fillId="0" borderId="10" xfId="56" applyNumberFormat="1" applyFont="1" applyBorder="1" applyAlignment="1">
      <alignment horizontal="center"/>
      <protection/>
    </xf>
    <xf numFmtId="0" fontId="12" fillId="35" borderId="10" xfId="54" applyFont="1" applyFill="1" applyBorder="1" applyAlignment="1">
      <alignment horizontal="left" wrapText="1"/>
      <protection/>
    </xf>
    <xf numFmtId="0" fontId="12" fillId="35" borderId="10" xfId="53" applyFont="1" applyFill="1" applyBorder="1" applyAlignment="1">
      <alignment horizontal="center" wrapText="1"/>
      <protection/>
    </xf>
    <xf numFmtId="0" fontId="12" fillId="35" borderId="10" xfId="54" applyFont="1" applyFill="1" applyBorder="1">
      <alignment/>
      <protection/>
    </xf>
    <xf numFmtId="0" fontId="12" fillId="35" borderId="10" xfId="54" applyFont="1" applyFill="1" applyBorder="1" applyAlignment="1">
      <alignment horizontal="center" wrapText="1"/>
      <protection/>
    </xf>
    <xf numFmtId="0" fontId="12" fillId="35" borderId="10" xfId="54" applyFont="1" applyFill="1" applyBorder="1" applyAlignment="1">
      <alignment horizontal="center"/>
      <protection/>
    </xf>
    <xf numFmtId="2" fontId="13" fillId="0" borderId="10" xfId="56" applyNumberFormat="1" applyFont="1" applyBorder="1" applyAlignment="1">
      <alignment horizontal="center" wrapText="1"/>
      <protection/>
    </xf>
    <xf numFmtId="0" fontId="12" fillId="35" borderId="10" xfId="54" applyFont="1" applyFill="1" applyBorder="1" applyAlignment="1">
      <alignment horizontal="center" vertical="center" wrapText="1"/>
      <protection/>
    </xf>
    <xf numFmtId="2" fontId="12" fillId="35" borderId="10" xfId="54" applyNumberFormat="1" applyFont="1" applyFill="1" applyBorder="1" applyAlignment="1">
      <alignment horizontal="center"/>
      <protection/>
    </xf>
    <xf numFmtId="2" fontId="13" fillId="35" borderId="10" xfId="56" applyNumberFormat="1" applyFont="1" applyFill="1" applyBorder="1" applyAlignment="1">
      <alignment horizontal="center"/>
      <protection/>
    </xf>
    <xf numFmtId="0" fontId="12" fillId="0" borderId="10" xfId="0" applyFont="1" applyFill="1" applyBorder="1" applyAlignment="1">
      <alignment horizontal="center"/>
    </xf>
    <xf numFmtId="0" fontId="12" fillId="0" borderId="10" xfId="56" applyFont="1" applyFill="1" applyBorder="1" applyAlignment="1">
      <alignment horizontal="center" wrapText="1"/>
      <protection/>
    </xf>
    <xf numFmtId="181" fontId="12" fillId="0" borderId="10" xfId="54" applyNumberFormat="1" applyFont="1" applyFill="1" applyBorder="1" applyAlignment="1">
      <alignment horizontal="center"/>
      <protection/>
    </xf>
    <xf numFmtId="0" fontId="12" fillId="0" borderId="10" xfId="0" applyFont="1" applyFill="1" applyBorder="1" applyAlignment="1">
      <alignment horizontal="left" wrapText="1"/>
    </xf>
    <xf numFmtId="0" fontId="9" fillId="0" borderId="11" xfId="54" applyFont="1" applyFill="1" applyBorder="1" applyAlignment="1">
      <alignment vertical="center"/>
      <protection/>
    </xf>
    <xf numFmtId="0" fontId="12" fillId="0" borderId="11" xfId="0" applyFont="1" applyFill="1" applyBorder="1" applyAlignment="1">
      <alignment vertical="center" wrapText="1"/>
    </xf>
    <xf numFmtId="0" fontId="12" fillId="0" borderId="11" xfId="54" applyFont="1" applyFill="1" applyBorder="1" applyAlignment="1">
      <alignment vertical="center" wrapText="1"/>
      <protection/>
    </xf>
    <xf numFmtId="0" fontId="12" fillId="0" borderId="10" xfId="55" applyFont="1" applyFill="1" applyBorder="1" applyAlignment="1">
      <alignment horizontal="left" wrapText="1"/>
      <protection/>
    </xf>
    <xf numFmtId="0" fontId="12" fillId="0" borderId="10" xfId="55" applyFont="1" applyFill="1" applyBorder="1" applyAlignment="1">
      <alignment horizontal="left"/>
      <protection/>
    </xf>
    <xf numFmtId="0" fontId="12" fillId="0" borderId="10" xfId="55" applyFont="1" applyFill="1" applyBorder="1" applyAlignment="1">
      <alignment horizontal="center"/>
      <protection/>
    </xf>
    <xf numFmtId="2" fontId="12" fillId="0" borderId="10" xfId="55" applyNumberFormat="1" applyFont="1" applyFill="1" applyBorder="1" applyAlignment="1">
      <alignment horizontal="center" wrapText="1"/>
      <protection/>
    </xf>
    <xf numFmtId="0" fontId="9" fillId="0" borderId="10" xfId="54" applyFont="1" applyFill="1" applyBorder="1" applyAlignment="1">
      <alignment horizontal="center"/>
      <protection/>
    </xf>
    <xf numFmtId="0" fontId="9" fillId="0" borderId="10" xfId="54" applyFont="1" applyFill="1" applyBorder="1" applyAlignment="1">
      <alignment horizontal="left" wrapText="1"/>
      <protection/>
    </xf>
    <xf numFmtId="0" fontId="9" fillId="0" borderId="10" xfId="54" applyFont="1" applyFill="1" applyBorder="1">
      <alignment/>
      <protection/>
    </xf>
    <xf numFmtId="0" fontId="9" fillId="0" borderId="10" xfId="54" applyFont="1" applyFill="1" applyBorder="1" applyAlignment="1">
      <alignment horizontal="center" wrapText="1"/>
      <protection/>
    </xf>
    <xf numFmtId="2" fontId="9" fillId="0" borderId="10" xfId="54" applyNumberFormat="1" applyFont="1" applyFill="1" applyBorder="1" applyAlignment="1">
      <alignment horizontal="center"/>
      <protection/>
    </xf>
    <xf numFmtId="1" fontId="9" fillId="0" borderId="10" xfId="54" applyNumberFormat="1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54" applyFont="1" applyFill="1" applyBorder="1" applyAlignment="1">
      <alignment horizontal="center"/>
      <protection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2" fontId="12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" fontId="12" fillId="0" borderId="0" xfId="54" applyNumberFormat="1" applyFont="1" applyFill="1" applyBorder="1" applyAlignment="1">
      <alignment horizontal="left"/>
      <protection/>
    </xf>
    <xf numFmtId="2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wrapText="1"/>
    </xf>
    <xf numFmtId="4" fontId="0" fillId="0" borderId="0" xfId="0" applyNumberFormat="1" applyAlignment="1">
      <alignment/>
    </xf>
    <xf numFmtId="1" fontId="1" fillId="33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1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54" applyFont="1" applyFill="1" applyBorder="1" applyAlignment="1">
      <alignment horizontal="center" vertical="center"/>
      <protection/>
    </xf>
    <xf numFmtId="0" fontId="9" fillId="0" borderId="15" xfId="54" applyFont="1" applyFill="1" applyBorder="1" applyAlignment="1">
      <alignment horizontal="center" vertical="center"/>
      <protection/>
    </xf>
    <xf numFmtId="0" fontId="12" fillId="0" borderId="11" xfId="54" applyFont="1" applyFill="1" applyBorder="1" applyAlignment="1">
      <alignment horizontal="center" vertical="center" wrapText="1"/>
      <protection/>
    </xf>
    <xf numFmtId="0" fontId="12" fillId="0" borderId="15" xfId="54" applyFont="1" applyFill="1" applyBorder="1" applyAlignment="1">
      <alignment horizontal="center" vertical="center" wrapText="1"/>
      <protection/>
    </xf>
    <xf numFmtId="0" fontId="12" fillId="0" borderId="11" xfId="54" applyFont="1" applyFill="1" applyBorder="1" applyAlignment="1">
      <alignment horizontal="left" vertical="center" wrapText="1"/>
      <protection/>
    </xf>
    <xf numFmtId="0" fontId="12" fillId="0" borderId="15" xfId="54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12" fillId="0" borderId="11" xfId="54" applyFont="1" applyFill="1" applyBorder="1" applyAlignment="1">
      <alignment horizontal="center"/>
      <protection/>
    </xf>
    <xf numFmtId="0" fontId="12" fillId="0" borderId="15" xfId="54" applyFont="1" applyFill="1" applyBorder="1" applyAlignment="1">
      <alignment horizontal="center"/>
      <protection/>
    </xf>
    <xf numFmtId="0" fontId="12" fillId="0" borderId="11" xfId="54" applyFont="1" applyFill="1" applyBorder="1" applyAlignment="1">
      <alignment horizontal="center" vertical="center"/>
      <protection/>
    </xf>
    <xf numFmtId="0" fontId="12" fillId="0" borderId="15" xfId="54" applyFont="1" applyFill="1" applyBorder="1" applyAlignment="1">
      <alignment horizontal="center" vertical="center"/>
      <protection/>
    </xf>
    <xf numFmtId="1" fontId="0" fillId="0" borderId="0" xfId="0" applyNumberFormat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С№11" xfId="53"/>
    <cellStyle name="Обычный_дс№15" xfId="54"/>
    <cellStyle name="Обычный_дс№16" xfId="55"/>
    <cellStyle name="Обычный_дс№4" xfId="56"/>
    <cellStyle name="Обычный_дс№56" xfId="57"/>
    <cellStyle name="Обычный_ДС№7" xfId="58"/>
    <cellStyle name="Обычный_нш№1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_ekonom\&#1056;&#1072;&#1073;&#1086;&#1095;&#1080;&#1081;%20&#1089;&#1090;&#1086;&#1083;\&#1041;&#1077;&#1083;&#1086;&#1074;\&#1055;&#1088;&#1080;&#1084;&#1077;&#1088;&#1099;%20&#1084;&#1091;&#1085;%20&#1079;&#1072;&#1076;&#1072;&#1085;&#1080;&#1081;\&#1041;&#1083;&#1072;&#1085;&#1082;&#1080;\&#1044;&#1080;&#1088;&#1077;&#1082;&#1094;&#1080;&#1103;%20&#1079;&#1072;&#1082;&#1072;&#1079;&#1095;&#1080;&#1082;&#1072;\&#1053;&#1086;&#1088;&#1084;&#1072;&#1090;&#1080;&#1074;%20&#1044;&#1080;&#1088;&#1077;&#108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_ekonom\&#1056;&#1072;&#1073;&#1086;&#1095;&#1080;&#1081;%20&#1089;&#1090;&#1086;&#1083;\&#1041;&#1077;&#1083;&#1086;&#1074;\&#1055;&#1088;&#1080;&#1084;&#1077;&#1088;&#1099;%20&#1084;&#1091;&#1085;%20&#1079;&#1072;&#1076;&#1072;&#1085;&#1080;&#1081;\&#1041;&#1083;&#1072;&#1085;&#1082;&#1080;\&#1040;&#1074;&#1090;&#1086;&#1087;&#1072;&#1088;&#1082;\&#1056;&#1072;&#1089;&#1095;&#1077;&#1090;%20&#1085;&#1086;&#1088;&#1084;&#1072;&#1090;&#1080;&#1074;&#1072;%20&#1079;&#1072;&#1090;&#1088;&#1072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"/>
      <sheetName val="К имущ"/>
      <sheetName val="К хоз"/>
      <sheetName val="По кодам"/>
      <sheetName val="Трудозатраты"/>
      <sheetName val="Расп осн. зп"/>
      <sheetName val="ЗП"/>
      <sheetName val="Усл.стор.орг."/>
      <sheetName val="тепло"/>
      <sheetName val="Эл.энерг"/>
      <sheetName val="Матер"/>
      <sheetName val="Утвержд"/>
      <sheetName val="Коммуналка"/>
      <sheetName val="Коммандир"/>
    </sheetNames>
    <sheetDataSet>
      <sheetData sheetId="0">
        <row r="6">
          <cell r="E6">
            <v>1081498.88</v>
          </cell>
        </row>
        <row r="8">
          <cell r="E8">
            <v>326612.66175999993</v>
          </cell>
        </row>
        <row r="21">
          <cell r="E21">
            <v>569990.88</v>
          </cell>
        </row>
        <row r="22">
          <cell r="E22">
            <v>0</v>
          </cell>
        </row>
        <row r="25">
          <cell r="E25">
            <v>172137.24576</v>
          </cell>
        </row>
        <row r="26">
          <cell r="E26">
            <v>0</v>
          </cell>
        </row>
      </sheetData>
      <sheetData sheetId="2">
        <row r="8">
          <cell r="B8" t="str">
            <v>Заработная плата административно-управленческого персонала</v>
          </cell>
          <cell r="D8">
            <v>0</v>
          </cell>
        </row>
        <row r="9">
          <cell r="B9" t="str">
            <v>Заработная плата обслуживающего персонала</v>
          </cell>
          <cell r="D9">
            <v>0</v>
          </cell>
        </row>
        <row r="11">
          <cell r="B11" t="str">
            <v>Суточные на коммандировки</v>
          </cell>
        </row>
        <row r="12">
          <cell r="B12" t="str">
            <v>Начисления на з/п адм.-упр. персонала</v>
          </cell>
        </row>
        <row r="13">
          <cell r="B13" t="str">
            <v>Начисления на з/п обсл. персонала</v>
          </cell>
        </row>
        <row r="15">
          <cell r="B15" t="str">
            <v>Оплата услуг тефонной связи</v>
          </cell>
        </row>
        <row r="16">
          <cell r="B16" t="str">
            <v>Оплата услуг сотовой связи</v>
          </cell>
          <cell r="C16">
            <v>0</v>
          </cell>
        </row>
        <row r="17">
          <cell r="B17" t="str">
            <v>Оплата услуг почтовой связи</v>
          </cell>
          <cell r="C17">
            <v>0</v>
          </cell>
        </row>
        <row r="19">
          <cell r="B19" t="str">
            <v>Транспортные услуги</v>
          </cell>
        </row>
        <row r="20">
          <cell r="B20" t="str">
            <v>Тепловая энергия</v>
          </cell>
        </row>
        <row r="21">
          <cell r="B21" t="str">
            <v>Электрическая энергия</v>
          </cell>
        </row>
        <row r="22">
          <cell r="B22" t="str">
            <v>Водопотребление</v>
          </cell>
        </row>
        <row r="23">
          <cell r="B23" t="str">
            <v>Хоз.стоки</v>
          </cell>
        </row>
        <row r="24">
          <cell r="D24">
            <v>20190.71786</v>
          </cell>
        </row>
        <row r="25">
          <cell r="B25" t="str">
            <v>Арендная плата</v>
          </cell>
        </row>
        <row r="34">
          <cell r="D34">
            <v>50000</v>
          </cell>
        </row>
        <row r="35">
          <cell r="B35" t="str">
            <v>Налоги, транспортный налог</v>
          </cell>
          <cell r="D35">
            <v>7000</v>
          </cell>
        </row>
        <row r="39">
          <cell r="D39">
            <v>10000</v>
          </cell>
        </row>
        <row r="41">
          <cell r="D41">
            <v>852318.8436199999</v>
          </cell>
        </row>
      </sheetData>
      <sheetData sheetId="3">
        <row r="16">
          <cell r="C16">
            <v>0</v>
          </cell>
        </row>
        <row r="17">
          <cell r="C17">
            <v>0</v>
          </cell>
        </row>
      </sheetData>
      <sheetData sheetId="13">
        <row r="8">
          <cell r="C8">
            <v>2000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"/>
      <sheetName val="К имущ"/>
      <sheetName val="К хоз"/>
      <sheetName val="По кодам"/>
      <sheetName val="Осн ЗП по видам услуг"/>
      <sheetName val="Коммандир расх"/>
      <sheetName val="Услуги стор орг"/>
      <sheetName val="Содерж имущ"/>
      <sheetName val="Распред по имущ."/>
      <sheetName val="Хоз. стоки"/>
      <sheetName val="Вода"/>
      <sheetName val="Распред общех"/>
      <sheetName val="Общехоз расх"/>
      <sheetName val="материал"/>
      <sheetName val="Электроэнергия"/>
      <sheetName val="Оглавление"/>
      <sheetName val="косгу"/>
      <sheetName val="Эл.энергия"/>
      <sheetName val="Тепло"/>
      <sheetName val="ЗП"/>
      <sheetName val="Начисления"/>
      <sheetName val="Услуга 1"/>
      <sheetName val="Услуга 1 (2)"/>
      <sheetName val="Услуга 1 (3)"/>
      <sheetName val="Услуга 1 (4)"/>
      <sheetName val="Услуга 1 (5)"/>
      <sheetName val="Работа 1"/>
      <sheetName val="свод затрат"/>
      <sheetName val="Утверждаю"/>
    </sheetNames>
    <sheetDataSet>
      <sheetData sheetId="1">
        <row r="8">
          <cell r="B8" t="str">
            <v>Тепловая энергия</v>
          </cell>
        </row>
        <row r="9">
          <cell r="B9" t="str">
            <v>Электрическая энергия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субсидии"/>
      <sheetName val="Расчет норматива на 2012г."/>
      <sheetName val="Расч.коммун.услуг"/>
      <sheetName val="Зар. плата"/>
      <sheetName val="Начисления на зар. плату."/>
      <sheetName val="Материалы"/>
    </sheetNames>
    <sheetDataSet>
      <sheetData sheetId="1">
        <row r="60">
          <cell r="D60">
            <v>271.79702917771885</v>
          </cell>
          <cell r="E60">
            <v>154.19772214854112</v>
          </cell>
          <cell r="F60">
            <v>15.371066433566433</v>
          </cell>
        </row>
      </sheetData>
      <sheetData sheetId="3">
        <row r="10">
          <cell r="I10">
            <v>2999769.864</v>
          </cell>
          <cell r="J10">
            <v>3185755.5955680003</v>
          </cell>
          <cell r="K10">
            <v>3351414.8865375365</v>
          </cell>
        </row>
        <row r="11">
          <cell r="I11">
            <v>178894.8</v>
          </cell>
          <cell r="J11">
            <v>189986.2776</v>
          </cell>
          <cell r="K11">
            <v>199865.56403520002</v>
          </cell>
        </row>
        <row r="12">
          <cell r="I12">
            <v>443593.92000000004</v>
          </cell>
          <cell r="J12">
            <v>471096.7430400001</v>
          </cell>
          <cell r="K12">
            <v>495593.7736780801</v>
          </cell>
        </row>
        <row r="13">
          <cell r="I13">
            <v>128441.20800000001</v>
          </cell>
          <cell r="J13">
            <v>136404.56289600002</v>
          </cell>
          <cell r="K13">
            <v>143497.60016659202</v>
          </cell>
        </row>
        <row r="14">
          <cell r="I14">
            <v>177868.488</v>
          </cell>
          <cell r="J14">
            <v>188896.33425600003</v>
          </cell>
          <cell r="K14">
            <v>198718.94363731204</v>
          </cell>
        </row>
        <row r="15">
          <cell r="I15">
            <v>529598.328</v>
          </cell>
          <cell r="J15">
            <v>562433.424336</v>
          </cell>
          <cell r="K15">
            <v>591679.962401472</v>
          </cell>
        </row>
        <row r="19">
          <cell r="I19">
            <v>432180.672</v>
          </cell>
          <cell r="J19">
            <v>458975.8736640001</v>
          </cell>
          <cell r="K19">
            <v>482842.6190945281</v>
          </cell>
        </row>
        <row r="20">
          <cell r="I20">
            <v>427858.87200000003</v>
          </cell>
          <cell r="J20">
            <v>454386.12206400005</v>
          </cell>
          <cell r="K20">
            <v>478014.20041132806</v>
          </cell>
        </row>
        <row r="21">
          <cell r="I21">
            <v>263074.56</v>
          </cell>
          <cell r="J21">
            <v>279385.18272000004</v>
          </cell>
          <cell r="K21">
            <v>293913.21222144004</v>
          </cell>
        </row>
        <row r="25">
          <cell r="I25">
            <v>72844.79999999999</v>
          </cell>
          <cell r="J25">
            <v>77361.1776</v>
          </cell>
          <cell r="K25">
            <v>81383.9588352</v>
          </cell>
        </row>
        <row r="26">
          <cell r="I26">
            <v>54633.600000000006</v>
          </cell>
          <cell r="J26">
            <v>58020.88320000001</v>
          </cell>
          <cell r="K26">
            <v>61037.969126400014</v>
          </cell>
        </row>
        <row r="30">
          <cell r="I30">
            <v>281299.19999999995</v>
          </cell>
          <cell r="J30">
            <v>298739.75039999996</v>
          </cell>
          <cell r="K30">
            <v>314274.21742079995</v>
          </cell>
        </row>
        <row r="31">
          <cell r="I31">
            <v>552892.0319999999</v>
          </cell>
          <cell r="J31">
            <v>587171.3379839999</v>
          </cell>
          <cell r="K31">
            <v>617704.2475591679</v>
          </cell>
        </row>
        <row r="32">
          <cell r="I32">
            <v>113292.48000000001</v>
          </cell>
          <cell r="J32">
            <v>120316.61376000002</v>
          </cell>
          <cell r="K32">
            <v>126573.07767552003</v>
          </cell>
        </row>
        <row r="33">
          <cell r="I33">
            <v>435859.19999999995</v>
          </cell>
          <cell r="J33">
            <v>462882.4704</v>
          </cell>
          <cell r="K33">
            <v>486952.3588608</v>
          </cell>
        </row>
        <row r="34">
          <cell r="I34">
            <v>145689.59999999998</v>
          </cell>
          <cell r="J34">
            <v>154722.3552</v>
          </cell>
          <cell r="K34">
            <v>162767.9176704</v>
          </cell>
        </row>
        <row r="35">
          <cell r="I35">
            <v>131712</v>
          </cell>
          <cell r="J35">
            <v>139878.144</v>
          </cell>
          <cell r="K35">
            <v>147151.80748800002</v>
          </cell>
        </row>
        <row r="36">
          <cell r="I36">
            <v>72844.79999999999</v>
          </cell>
          <cell r="J36">
            <v>77361.1776</v>
          </cell>
          <cell r="K36">
            <v>81383.9588352</v>
          </cell>
        </row>
        <row r="37">
          <cell r="I37">
            <v>256015.36800000002</v>
          </cell>
          <cell r="J37">
            <v>271888.32081600005</v>
          </cell>
          <cell r="K37">
            <v>286026.51349843206</v>
          </cell>
        </row>
        <row r="38">
          <cell r="I38">
            <v>145689.59999999998</v>
          </cell>
          <cell r="J38">
            <v>154722.3552</v>
          </cell>
          <cell r="K38">
            <v>162767.9176704</v>
          </cell>
        </row>
        <row r="39">
          <cell r="I39">
            <v>145689.59999999998</v>
          </cell>
          <cell r="J39">
            <v>154722.3552</v>
          </cell>
          <cell r="K39">
            <v>162767.9176704</v>
          </cell>
        </row>
        <row r="40">
          <cell r="I40">
            <v>82521.6</v>
          </cell>
          <cell r="J40">
            <v>87637.93920000001</v>
          </cell>
          <cell r="K40">
            <v>92195.11203840001</v>
          </cell>
        </row>
        <row r="41">
          <cell r="I41">
            <v>87360</v>
          </cell>
          <cell r="J41">
            <v>92776.32</v>
          </cell>
          <cell r="K41">
            <v>97600.68864000001</v>
          </cell>
        </row>
        <row r="42">
          <cell r="I42">
            <v>43276.8</v>
          </cell>
          <cell r="J42">
            <v>45959.9616</v>
          </cell>
          <cell r="K42">
            <v>48349.8796032</v>
          </cell>
        </row>
        <row r="43">
          <cell r="I43">
            <v>86553.6</v>
          </cell>
          <cell r="J43">
            <v>91919.9232</v>
          </cell>
          <cell r="K43">
            <v>96699.7592064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0"/>
  <sheetViews>
    <sheetView view="pageBreakPreview" zoomScale="60" zoomScalePageLayoutView="0" workbookViewId="0" topLeftCell="A1">
      <selection activeCell="E186" sqref="E186"/>
    </sheetView>
  </sheetViews>
  <sheetFormatPr defaultColWidth="9.140625" defaultRowHeight="12.75"/>
  <cols>
    <col min="1" max="1" width="9.140625" style="21" customWidth="1"/>
    <col min="2" max="2" width="31.421875" style="40" customWidth="1"/>
    <col min="3" max="3" width="5.421875" style="40" customWidth="1"/>
    <col min="4" max="5" width="20.7109375" style="0" customWidth="1"/>
    <col min="6" max="6" width="22.140625" style="0" customWidth="1"/>
    <col min="7" max="7" width="24.7109375" style="0" customWidth="1"/>
    <col min="8" max="8" width="16.00390625" style="0" customWidth="1"/>
  </cols>
  <sheetData>
    <row r="1" spans="1:8" ht="35.25" customHeight="1">
      <c r="A1" s="225" t="s">
        <v>484</v>
      </c>
      <c r="B1" s="225"/>
      <c r="C1" s="225"/>
      <c r="D1" s="225"/>
      <c r="E1" s="225"/>
      <c r="F1" s="225"/>
      <c r="G1" s="225"/>
      <c r="H1" s="225"/>
    </row>
    <row r="3" spans="1:8" ht="12.75">
      <c r="A3" s="226" t="s">
        <v>198</v>
      </c>
      <c r="B3" s="227" t="s">
        <v>199</v>
      </c>
      <c r="C3" s="228" t="s">
        <v>223</v>
      </c>
      <c r="D3" s="230" t="s">
        <v>200</v>
      </c>
      <c r="E3" s="231"/>
      <c r="F3" s="231"/>
      <c r="G3" s="232"/>
      <c r="H3" s="227" t="s">
        <v>201</v>
      </c>
    </row>
    <row r="4" spans="1:8" ht="104.25" customHeight="1">
      <c r="A4" s="226"/>
      <c r="B4" s="227"/>
      <c r="C4" s="229"/>
      <c r="D4" s="42" t="str">
        <f>'По кодам'!C5</f>
        <v>Реализация общеобразовательной программы дошкольного образования в группах общеразвивающей направленности</v>
      </c>
      <c r="E4" s="42" t="str">
        <f>'По кодам'!D5</f>
        <v>Реализация общеобразовательной программы дошкольного образования в компенсирующих группах</v>
      </c>
      <c r="F4" s="42" t="str">
        <f>'По кодам'!E5</f>
        <v>Присмотр и уход за детьми, осваивающими образовательные программы в образовательных организациях в группах полного дня</v>
      </c>
      <c r="G4" s="42" t="str">
        <f>'По кодам'!F5</f>
        <v>Присмотр и уход за детьми, осваивающими образовательные программы в образовательных организациях в группах кратковременного пребывания</v>
      </c>
      <c r="H4" s="227"/>
    </row>
    <row r="5" spans="1:8" s="55" customFormat="1" ht="30" customHeight="1">
      <c r="A5" s="52"/>
      <c r="B5" s="53" t="s">
        <v>224</v>
      </c>
      <c r="C5" s="53"/>
      <c r="D5" s="54">
        <f>D6+D7+D8+D9+D13+D18+D19</f>
        <v>5654107.225951398</v>
      </c>
      <c r="E5" s="54">
        <f>E6+E7+E8+E9+E13+E18+E19</f>
        <v>5944121.7170484</v>
      </c>
      <c r="F5" s="54">
        <f>F6+F7+F8+F9+F13+F18+F19</f>
        <v>5656424.831134923</v>
      </c>
      <c r="G5" s="54">
        <f>G6+G7+G8+G9+G13+G18+G19</f>
        <v>289971.0689300465</v>
      </c>
      <c r="H5" s="54">
        <f>H6+H7+H8+H9+H13+H18+H19</f>
        <v>16698759.860695796</v>
      </c>
    </row>
    <row r="6" spans="1:8" s="1" customFormat="1" ht="25.5">
      <c r="A6" s="41">
        <v>211</v>
      </c>
      <c r="B6" s="5" t="s">
        <v>225</v>
      </c>
      <c r="C6" s="5"/>
      <c r="D6" s="44">
        <f>'По кодам'!C6</f>
        <v>4328699.368465354</v>
      </c>
      <c r="E6" s="44">
        <f>'По кодам'!D6</f>
        <v>4550730.096622646</v>
      </c>
      <c r="F6" s="44">
        <f>'По кодам'!E6</f>
        <v>2540544.772896</v>
      </c>
      <c r="G6" s="44">
        <f>'По кодам'!F6</f>
        <v>221997.48480000003</v>
      </c>
      <c r="H6" s="44">
        <f>SUM(D6:G6)</f>
        <v>11641971.722783998</v>
      </c>
    </row>
    <row r="7" spans="1:8" s="1" customFormat="1" ht="12.75">
      <c r="A7" s="41">
        <v>212</v>
      </c>
      <c r="B7" s="5" t="s">
        <v>79</v>
      </c>
      <c r="C7" s="5"/>
      <c r="D7" s="44">
        <f>'Расчет норматива на 2012г.'!D20</f>
        <v>0</v>
      </c>
      <c r="E7" s="44"/>
      <c r="F7" s="44"/>
      <c r="G7" s="44"/>
      <c r="H7" s="44">
        <f>SUM(D7:E7)</f>
        <v>0</v>
      </c>
    </row>
    <row r="8" spans="1:8" s="1" customFormat="1" ht="25.5">
      <c r="A8" s="41">
        <v>213</v>
      </c>
      <c r="B8" s="5" t="s">
        <v>227</v>
      </c>
      <c r="C8" s="5"/>
      <c r="D8" s="44">
        <f>D6*0.302</f>
        <v>1307267.2092765367</v>
      </c>
      <c r="E8" s="44">
        <f>E6*0.302</f>
        <v>1374320.489180039</v>
      </c>
      <c r="F8" s="44">
        <f>F6*0.302</f>
        <v>767244.521414592</v>
      </c>
      <c r="G8" s="44">
        <f>G6*0.302</f>
        <v>67043.24040960001</v>
      </c>
      <c r="H8" s="44">
        <f>SUM(D8:E8)</f>
        <v>2681587.6984565756</v>
      </c>
    </row>
    <row r="9" spans="1:8" s="1" customFormat="1" ht="12.75">
      <c r="A9" s="233">
        <v>225</v>
      </c>
      <c r="B9" s="5" t="s">
        <v>228</v>
      </c>
      <c r="C9" s="5"/>
      <c r="D9" s="4">
        <f>SUM(D11:D12)</f>
        <v>0</v>
      </c>
      <c r="E9" s="4">
        <f>SUM(E11:E12)</f>
        <v>0</v>
      </c>
      <c r="F9" s="4">
        <f>SUM(F11:F12)</f>
        <v>0</v>
      </c>
      <c r="G9" s="4">
        <f>SUM(G11:G12)</f>
        <v>0</v>
      </c>
      <c r="H9" s="44">
        <f>SUM(D9:E9)</f>
        <v>0</v>
      </c>
    </row>
    <row r="10" spans="1:8" s="1" customFormat="1" ht="12.75">
      <c r="A10" s="233"/>
      <c r="B10" s="50"/>
      <c r="C10" s="5"/>
      <c r="D10" s="4"/>
      <c r="E10" s="44"/>
      <c r="F10" s="44"/>
      <c r="G10" s="44"/>
      <c r="H10" s="51"/>
    </row>
    <row r="11" spans="1:8" ht="12.75">
      <c r="A11" s="233"/>
      <c r="B11" s="50"/>
      <c r="C11" s="15"/>
      <c r="D11" s="32"/>
      <c r="E11" s="27"/>
      <c r="F11" s="27"/>
      <c r="G11" s="27"/>
      <c r="H11" s="51"/>
    </row>
    <row r="12" spans="1:8" ht="12.75">
      <c r="A12" s="233"/>
      <c r="B12" s="50"/>
      <c r="C12" s="15"/>
      <c r="D12" s="32"/>
      <c r="E12" s="27"/>
      <c r="F12" s="27"/>
      <c r="G12" s="27"/>
      <c r="H12" s="51"/>
    </row>
    <row r="13" spans="1:8" s="1" customFormat="1" ht="12.75">
      <c r="A13" s="226">
        <v>226</v>
      </c>
      <c r="B13" s="5" t="s">
        <v>229</v>
      </c>
      <c r="C13" s="5"/>
      <c r="D13" s="44">
        <f>SUM(D14:D16)</f>
        <v>18140.6482095073</v>
      </c>
      <c r="E13" s="44">
        <f>SUM(E14:E16)</f>
        <v>19071.131245715504</v>
      </c>
      <c r="F13" s="44">
        <f>SUM(F14:F16)</f>
        <v>10646.876824330755</v>
      </c>
      <c r="G13" s="44">
        <f>SUM(G14:G16)</f>
        <v>930.3437204464474</v>
      </c>
      <c r="H13" s="44">
        <f>SUM(D13:E13)</f>
        <v>37211.7794552228</v>
      </c>
    </row>
    <row r="14" spans="1:8" s="1" customFormat="1" ht="12.75">
      <c r="A14" s="226"/>
      <c r="B14" s="50" t="str">
        <f>'Расчет норматива на 2012г.'!A38</f>
        <v>Мед. Осмотр</v>
      </c>
      <c r="C14" s="5"/>
      <c r="D14" s="51">
        <f>H14/H6*D6</f>
        <v>18140.6482095073</v>
      </c>
      <c r="E14" s="51">
        <f>H14/H6*E6</f>
        <v>19071.131245715504</v>
      </c>
      <c r="F14" s="51">
        <f>H14/H6*F6</f>
        <v>10646.876824330755</v>
      </c>
      <c r="G14" s="51">
        <f>H14/H6*G6</f>
        <v>930.3437204464474</v>
      </c>
      <c r="H14" s="51">
        <f>'Расчет норматива на 2012г.'!D38</f>
        <v>48789</v>
      </c>
    </row>
    <row r="15" spans="1:8" s="1" customFormat="1" ht="12.75">
      <c r="A15" s="226"/>
      <c r="B15" s="50" t="str">
        <f>'Расчет норматива на 2012г.'!A39</f>
        <v>Подписка</v>
      </c>
      <c r="C15" s="5"/>
      <c r="D15" s="51">
        <f>H15/H6*D6</f>
        <v>0</v>
      </c>
      <c r="E15" s="51">
        <f>H15/H6*E6</f>
        <v>0</v>
      </c>
      <c r="F15" s="51">
        <f>H15/H6*F6</f>
        <v>0</v>
      </c>
      <c r="G15" s="51">
        <f>H15/H6*G6</f>
        <v>0</v>
      </c>
      <c r="H15" s="51">
        <f>'Расчет норматива на 2012г.'!D39</f>
        <v>0</v>
      </c>
    </row>
    <row r="16" spans="1:8" ht="12.75">
      <c r="A16" s="226"/>
      <c r="B16" s="50" t="str">
        <f>'Расчет норматива на 2012г.'!A40</f>
        <v>Сан минимум</v>
      </c>
      <c r="C16" s="15"/>
      <c r="D16" s="51">
        <f>H16/H6*D6</f>
        <v>0</v>
      </c>
      <c r="E16" s="51">
        <f>H16/H6*E6</f>
        <v>0</v>
      </c>
      <c r="F16" s="51">
        <f>H16/H6*F6</f>
        <v>0</v>
      </c>
      <c r="G16" s="51">
        <f>H16/H6*G6</f>
        <v>0</v>
      </c>
      <c r="H16" s="51">
        <f>'Расчет норматива на 2012г.'!D40</f>
        <v>0</v>
      </c>
    </row>
    <row r="17" spans="1:8" ht="12.75" hidden="1">
      <c r="A17" s="226"/>
      <c r="B17" s="15"/>
      <c r="C17" s="15"/>
      <c r="D17" s="32"/>
      <c r="E17" s="32"/>
      <c r="F17" s="32"/>
      <c r="G17" s="32"/>
      <c r="H17" s="51">
        <f>'Расчет норматива на 2012г.'!D41</f>
        <v>0</v>
      </c>
    </row>
    <row r="18" spans="1:8" s="1" customFormat="1" ht="12.75">
      <c r="A18" s="4">
        <v>290</v>
      </c>
      <c r="B18" s="5" t="s">
        <v>230</v>
      </c>
      <c r="C18" s="5"/>
      <c r="D18" s="4"/>
      <c r="E18" s="4"/>
      <c r="F18" s="4"/>
      <c r="G18" s="4"/>
      <c r="H18" s="44">
        <f>SUM(D18:D18)</f>
        <v>0</v>
      </c>
    </row>
    <row r="19" spans="1:8" s="1" customFormat="1" ht="12.75">
      <c r="A19" s="233">
        <v>340</v>
      </c>
      <c r="B19" s="5" t="s">
        <v>231</v>
      </c>
      <c r="C19" s="5"/>
      <c r="D19" s="44">
        <f>SUM(D20:D21)</f>
        <v>0</v>
      </c>
      <c r="E19" s="44">
        <f>SUM(E20:E21)</f>
        <v>0</v>
      </c>
      <c r="F19" s="44">
        <f>SUM(F20:F21)</f>
        <v>2337988.6599999997</v>
      </c>
      <c r="G19" s="44">
        <f>SUM(G20:G21)</f>
        <v>0</v>
      </c>
      <c r="H19" s="44">
        <f aca="true" t="shared" si="0" ref="H19:H67">SUM(D19:G19)</f>
        <v>2337988.6599999997</v>
      </c>
    </row>
    <row r="20" spans="1:8" ht="12.75">
      <c r="A20" s="233"/>
      <c r="B20" s="50" t="s">
        <v>74</v>
      </c>
      <c r="C20" s="50"/>
      <c r="D20" s="27">
        <f>'По кодам'!C43</f>
        <v>0</v>
      </c>
      <c r="E20" s="27">
        <f>'По кодам'!D43</f>
        <v>0</v>
      </c>
      <c r="F20" s="27">
        <f>'По кодам'!E43</f>
        <v>2337988.6599999997</v>
      </c>
      <c r="G20" s="27">
        <f>'По кодам'!F43</f>
        <v>0</v>
      </c>
      <c r="H20" s="44">
        <f t="shared" si="0"/>
        <v>2337988.6599999997</v>
      </c>
    </row>
    <row r="21" spans="1:8" ht="12.75">
      <c r="A21" s="233"/>
      <c r="B21" s="50" t="s">
        <v>71</v>
      </c>
      <c r="C21" s="50"/>
      <c r="D21" s="28">
        <f>'Расчет норматива на 2012г.'!D51</f>
        <v>0</v>
      </c>
      <c r="E21" s="28"/>
      <c r="F21" s="28"/>
      <c r="G21" s="28"/>
      <c r="H21" s="44">
        <f t="shared" si="0"/>
        <v>0</v>
      </c>
    </row>
    <row r="22" spans="1:10" s="55" customFormat="1" ht="12.75">
      <c r="A22" s="56"/>
      <c r="B22" s="57" t="s">
        <v>466</v>
      </c>
      <c r="C22" s="57"/>
      <c r="D22" s="58">
        <f>D23+D27+D30+D34+D35+D40+D41+D42+D51+D52+D26</f>
        <v>1267395.1104921848</v>
      </c>
      <c r="E22" s="58">
        <f>E23+E27+E30+E34+E35+E40+E41+E42+E51+E52+E26</f>
        <v>1332403.242333259</v>
      </c>
      <c r="F22" s="58">
        <f>F23+F27+F30+F34+F35+F40+F41+F42+F51+F52+F26</f>
        <v>743843.3000479782</v>
      </c>
      <c r="G22" s="58">
        <f>G23+G27+G30+G34+G35+G40+G41+G42+G51+G52+G26</f>
        <v>64998.39855518373</v>
      </c>
      <c r="H22" s="221">
        <f t="shared" si="0"/>
        <v>3408640.051428606</v>
      </c>
      <c r="J22" s="59">
        <f>H22-'[1]К хоз'!D41</f>
        <v>2556321.207808606</v>
      </c>
    </row>
    <row r="23" spans="1:8" s="1" customFormat="1" ht="12.75">
      <c r="A23" s="233">
        <v>211</v>
      </c>
      <c r="B23" s="5" t="s">
        <v>233</v>
      </c>
      <c r="C23" s="5"/>
      <c r="D23" s="44">
        <f>SUM(D24:D25)</f>
        <v>586273.8063726008</v>
      </c>
      <c r="E23" s="44">
        <f>SUM(E24:E25)</f>
        <v>616345.37962085</v>
      </c>
      <c r="F23" s="44">
        <f>SUM(F24:F25)</f>
        <v>344088.31094080035</v>
      </c>
      <c r="G23" s="44">
        <f>SUM(G24:G25)</f>
        <v>30067.070808149452</v>
      </c>
      <c r="H23" s="44">
        <f t="shared" si="0"/>
        <v>1576774.5677424003</v>
      </c>
    </row>
    <row r="24" spans="1:10" ht="24.75" customHeight="1">
      <c r="A24" s="233"/>
      <c r="B24" s="60" t="str">
        <f>'[1]К хоз'!B8</f>
        <v>Заработная плата административно-управленческого персонала</v>
      </c>
      <c r="C24" s="60"/>
      <c r="D24" s="27">
        <f>хозяйственные!C8</f>
        <v>231127.69319139703</v>
      </c>
      <c r="E24" s="27">
        <f>хозяйственные!D8</f>
        <v>242982.85929289385</v>
      </c>
      <c r="F24" s="27">
        <f>хозяйственные!E8</f>
        <v>135650.50441862628</v>
      </c>
      <c r="G24" s="27">
        <f>хозяйственные!F8</f>
        <v>11853.391097083047</v>
      </c>
      <c r="H24" s="44">
        <f t="shared" si="0"/>
        <v>621614.4480000003</v>
      </c>
      <c r="J24" s="43">
        <f>H24-'[1]К хоз'!D8</f>
        <v>621614.4480000003</v>
      </c>
    </row>
    <row r="25" spans="1:10" ht="24.75" customHeight="1">
      <c r="A25" s="233"/>
      <c r="B25" s="60" t="str">
        <f>'[1]К хоз'!B9</f>
        <v>Заработная плата обслуживающего персонала</v>
      </c>
      <c r="C25" s="60"/>
      <c r="D25" s="27">
        <f>хозяйственные!C9</f>
        <v>355146.1131812038</v>
      </c>
      <c r="E25" s="27">
        <f>хозяйственные!D9</f>
        <v>373362.5203279561</v>
      </c>
      <c r="F25" s="27">
        <f>хозяйственные!E9</f>
        <v>208437.80652217407</v>
      </c>
      <c r="G25" s="27">
        <f>хозяйственные!F9</f>
        <v>18213.679711066405</v>
      </c>
      <c r="H25" s="44">
        <f t="shared" si="0"/>
        <v>955160.1197424004</v>
      </c>
      <c r="J25" s="43">
        <f>H25-'[1]К хоз'!D9</f>
        <v>955160.1197424004</v>
      </c>
    </row>
    <row r="26" spans="1:8" ht="12.75">
      <c r="A26" s="4">
        <v>212</v>
      </c>
      <c r="B26" s="5" t="str">
        <f>'[1]К хоз'!B11</f>
        <v>Суточные на коммандировки</v>
      </c>
      <c r="C26" s="5"/>
      <c r="D26" s="61">
        <f>хозяйственные!C11</f>
        <v>3569.456697437334</v>
      </c>
      <c r="E26" s="61">
        <f>хозяйственные!D11</f>
        <v>3752.543810261921</v>
      </c>
      <c r="F26" s="61">
        <f>хозяйственные!E11</f>
        <v>2094.9397920345828</v>
      </c>
      <c r="G26" s="61">
        <f>хозяйственные!F11</f>
        <v>183.0597002661644</v>
      </c>
      <c r="H26" s="44">
        <f t="shared" si="0"/>
        <v>9600.000000000002</v>
      </c>
    </row>
    <row r="27" spans="1:8" s="1" customFormat="1" ht="25.5">
      <c r="A27" s="233">
        <v>213</v>
      </c>
      <c r="B27" s="5" t="s">
        <v>234</v>
      </c>
      <c r="C27" s="5"/>
      <c r="D27" s="44">
        <f>SUM(D28:D29)</f>
        <v>177054.68952452543</v>
      </c>
      <c r="E27" s="44">
        <f>SUM(E28:E29)</f>
        <v>186136.30464549668</v>
      </c>
      <c r="F27" s="44">
        <f>SUM(F28:F29)</f>
        <v>103914.66990412169</v>
      </c>
      <c r="G27" s="44">
        <f>SUM(G28:G29)</f>
        <v>9080.255384061134</v>
      </c>
      <c r="H27" s="44">
        <f t="shared" si="0"/>
        <v>476185.9194582049</v>
      </c>
    </row>
    <row r="28" spans="1:8" ht="25.5">
      <c r="A28" s="233"/>
      <c r="B28" s="15" t="str">
        <f>'[1]К хоз'!B12</f>
        <v>Начисления на з/п адм.-упр. персонала</v>
      </c>
      <c r="C28" s="15"/>
      <c r="D28" s="27">
        <f aca="true" t="shared" si="1" ref="D28:G29">D24*0.302</f>
        <v>69800.5633438019</v>
      </c>
      <c r="E28" s="27">
        <f t="shared" si="1"/>
        <v>73380.82350645393</v>
      </c>
      <c r="F28" s="27">
        <f t="shared" si="1"/>
        <v>40966.452334425136</v>
      </c>
      <c r="G28" s="27">
        <f t="shared" si="1"/>
        <v>3579.7241113190803</v>
      </c>
      <c r="H28" s="44">
        <f t="shared" si="0"/>
        <v>187727.56329600004</v>
      </c>
    </row>
    <row r="29" spans="1:8" ht="15" customHeight="1">
      <c r="A29" s="233"/>
      <c r="B29" s="15" t="str">
        <f>'[1]К хоз'!B13</f>
        <v>Начисления на з/п обсл. персонала</v>
      </c>
      <c r="C29" s="15"/>
      <c r="D29" s="27">
        <f t="shared" si="1"/>
        <v>107254.12618072354</v>
      </c>
      <c r="E29" s="27">
        <f t="shared" si="1"/>
        <v>112755.48113904275</v>
      </c>
      <c r="F29" s="27">
        <f t="shared" si="1"/>
        <v>62948.217569696564</v>
      </c>
      <c r="G29" s="27">
        <f t="shared" si="1"/>
        <v>5500.531272742054</v>
      </c>
      <c r="H29" s="44">
        <f t="shared" si="0"/>
        <v>288458.35616220493</v>
      </c>
    </row>
    <row r="30" spans="1:8" s="1" customFormat="1" ht="12.75">
      <c r="A30" s="233">
        <v>221</v>
      </c>
      <c r="B30" s="5" t="s">
        <v>235</v>
      </c>
      <c r="C30" s="5"/>
      <c r="D30" s="44">
        <f>SUM(D31:D33)</f>
        <v>15750.227677442235</v>
      </c>
      <c r="E30" s="44">
        <f>SUM(E31:E33)</f>
        <v>16558.099562780724</v>
      </c>
      <c r="F30" s="44">
        <f>SUM(F31:F33)</f>
        <v>9243.921832352597</v>
      </c>
      <c r="G30" s="44">
        <f>SUM(G31:G33)</f>
        <v>807.7509274244505</v>
      </c>
      <c r="H30" s="44">
        <f t="shared" si="0"/>
        <v>42360.00000000001</v>
      </c>
    </row>
    <row r="31" spans="1:8" ht="12.75">
      <c r="A31" s="233"/>
      <c r="B31" s="15" t="str">
        <f>'[1]К хоз'!B15</f>
        <v>Оплата услуг тефонной связи</v>
      </c>
      <c r="C31" s="15"/>
      <c r="D31" s="27">
        <f>хозяйственные!C18</f>
        <v>15750.227677442235</v>
      </c>
      <c r="E31" s="27">
        <f>хозяйственные!D18</f>
        <v>16558.099562780724</v>
      </c>
      <c r="F31" s="27">
        <f>хозяйственные!E18</f>
        <v>9243.921832352597</v>
      </c>
      <c r="G31" s="27">
        <f>хозяйственные!F18</f>
        <v>807.7509274244505</v>
      </c>
      <c r="H31" s="44">
        <f t="shared" si="0"/>
        <v>42360.00000000001</v>
      </c>
    </row>
    <row r="32" spans="1:8" ht="12.75" hidden="1">
      <c r="A32" s="233"/>
      <c r="B32" s="15" t="str">
        <f>'[1]К хоз'!B16</f>
        <v>Оплата услуг сотовой связи</v>
      </c>
      <c r="C32" s="15"/>
      <c r="D32" s="27">
        <f>'[1]По кодам'!C16</f>
        <v>0</v>
      </c>
      <c r="E32" s="27"/>
      <c r="F32" s="27"/>
      <c r="G32" s="27"/>
      <c r="H32" s="27">
        <f t="shared" si="0"/>
        <v>0</v>
      </c>
    </row>
    <row r="33" spans="1:8" ht="12.75" hidden="1">
      <c r="A33" s="233"/>
      <c r="B33" s="15" t="str">
        <f>'[1]К хоз'!B17</f>
        <v>Оплата услуг почтовой связи</v>
      </c>
      <c r="C33" s="15"/>
      <c r="D33" s="27">
        <f>'[1]По кодам'!C17</f>
        <v>0</v>
      </c>
      <c r="E33" s="27"/>
      <c r="F33" s="27"/>
      <c r="G33" s="27"/>
      <c r="H33" s="27">
        <f t="shared" si="0"/>
        <v>0</v>
      </c>
    </row>
    <row r="34" spans="1:8" s="1" customFormat="1" ht="14.25" customHeight="1">
      <c r="A34" s="4">
        <v>222</v>
      </c>
      <c r="B34" s="5" t="str">
        <f>'[1]К хоз'!B19</f>
        <v>Транспортные услуги</v>
      </c>
      <c r="C34" s="5"/>
      <c r="D34" s="44">
        <f>хозяйственные!C19</f>
        <v>4461.820871796667</v>
      </c>
      <c r="E34" s="44">
        <f>хозяйственные!D19</f>
        <v>4690.679762827401</v>
      </c>
      <c r="F34" s="44">
        <f>хозяйственные!E19</f>
        <v>2618.6747400432287</v>
      </c>
      <c r="G34" s="44">
        <f>хозяйственные!F19</f>
        <v>228.82462533270552</v>
      </c>
      <c r="H34" s="44">
        <f t="shared" si="0"/>
        <v>12000.000000000002</v>
      </c>
    </row>
    <row r="35" spans="1:10" s="1" customFormat="1" ht="12.75">
      <c r="A35" s="226">
        <v>223</v>
      </c>
      <c r="B35" s="5" t="s">
        <v>236</v>
      </c>
      <c r="C35" s="5"/>
      <c r="D35" s="44">
        <f>SUM(D36:D39)</f>
        <v>360024.7218448316</v>
      </c>
      <c r="E35" s="44">
        <f>SUM(E36:E39)</f>
        <v>378491.36605860485</v>
      </c>
      <c r="F35" s="44">
        <f>SUM(F36:F39)</f>
        <v>211301.0970130032</v>
      </c>
      <c r="G35" s="44">
        <f>SUM(G36:G39)</f>
        <v>18463.879311560457</v>
      </c>
      <c r="H35" s="44">
        <f t="shared" si="0"/>
        <v>968281.0642280001</v>
      </c>
      <c r="J35" s="49">
        <f>H35-'[1]К хоз'!D24</f>
        <v>948090.3463680001</v>
      </c>
    </row>
    <row r="36" spans="1:8" ht="12.75">
      <c r="A36" s="226"/>
      <c r="B36" s="15" t="str">
        <f>'[1]К хоз'!B20</f>
        <v>Тепловая энергия</v>
      </c>
      <c r="C36" s="15"/>
      <c r="D36" s="27">
        <f>хозяйственные!C20</f>
        <v>188884.56823988538</v>
      </c>
      <c r="E36" s="27">
        <f>хозяйственные!D20</f>
        <v>198572.9699176498</v>
      </c>
      <c r="F36" s="27">
        <f>хозяйственные!E20</f>
        <v>110857.710752199</v>
      </c>
      <c r="G36" s="27">
        <f>хозяйственные!F20</f>
        <v>9686.951090265844</v>
      </c>
      <c r="H36" s="44">
        <f t="shared" si="0"/>
        <v>508002.2</v>
      </c>
    </row>
    <row r="37" spans="1:8" ht="12.75">
      <c r="A37" s="226"/>
      <c r="B37" s="15" t="str">
        <f>'[1]К хоз'!B21</f>
        <v>Электрическая энергия</v>
      </c>
      <c r="C37" s="15"/>
      <c r="D37" s="27">
        <f>хозяйственные!C21</f>
        <v>86373.67753248711</v>
      </c>
      <c r="E37" s="27">
        <f>хозяйственные!D21</f>
        <v>90804.01766094936</v>
      </c>
      <c r="F37" s="27">
        <f>хозяйственные!E21</f>
        <v>50693.33217491635</v>
      </c>
      <c r="G37" s="27">
        <f>хозяйственные!F21</f>
        <v>4429.676799647188</v>
      </c>
      <c r="H37" s="44">
        <f t="shared" si="0"/>
        <v>232300.704168</v>
      </c>
    </row>
    <row r="38" spans="1:8" ht="12.75">
      <c r="A38" s="226"/>
      <c r="B38" s="15" t="str">
        <f>'[1]К хоз'!B22</f>
        <v>Водопотребление</v>
      </c>
      <c r="C38" s="15"/>
      <c r="D38" s="27">
        <f>хозяйственные!C22</f>
        <v>84766.47607245912</v>
      </c>
      <c r="E38" s="27">
        <f>хозяйственные!D22</f>
        <v>89114.37848000567</v>
      </c>
      <c r="F38" s="27">
        <f>хозяйственные!E22</f>
        <v>49750.054085887845</v>
      </c>
      <c r="G38" s="27">
        <f>хозяйственные!F22</f>
        <v>4347.251421647423</v>
      </c>
      <c r="H38" s="44">
        <f t="shared" si="0"/>
        <v>227978.16006000008</v>
      </c>
    </row>
    <row r="39" spans="1:8" ht="12.75">
      <c r="A39" s="226"/>
      <c r="B39" s="15" t="str">
        <f>'[1]К хоз'!B23</f>
        <v>Хоз.стоки</v>
      </c>
      <c r="C39" s="15"/>
      <c r="D39" s="27">
        <f>хозяйственные!C23</f>
        <v>0</v>
      </c>
      <c r="E39" s="27">
        <f>хозяйственные!D23</f>
        <v>0</v>
      </c>
      <c r="F39" s="27">
        <f>хозяйственные!E23</f>
        <v>0</v>
      </c>
      <c r="G39" s="27">
        <f>хозяйственные!F23</f>
        <v>0</v>
      </c>
      <c r="H39" s="44">
        <f t="shared" si="0"/>
        <v>0</v>
      </c>
    </row>
    <row r="40" spans="1:8" s="1" customFormat="1" ht="12.75">
      <c r="A40" s="4">
        <v>224</v>
      </c>
      <c r="B40" s="5" t="str">
        <f>'[1]К хоз'!B25</f>
        <v>Арендная плата</v>
      </c>
      <c r="C40" s="5"/>
      <c r="D40" s="4"/>
      <c r="E40" s="4"/>
      <c r="F40" s="4"/>
      <c r="G40" s="4"/>
      <c r="H40" s="44">
        <f t="shared" si="0"/>
        <v>0</v>
      </c>
    </row>
    <row r="41" spans="1:8" s="1" customFormat="1" ht="12.75">
      <c r="A41" s="4">
        <v>225</v>
      </c>
      <c r="B41" s="5" t="s">
        <v>228</v>
      </c>
      <c r="C41" s="5"/>
      <c r="D41" s="23">
        <f>хозяйственные!C26+хозяйственные!C27+хозяйственные!C28+хозяйственные!C29+хозяйственные!C30</f>
        <v>46518.57259094607</v>
      </c>
      <c r="E41" s="23">
        <f>хозяйственные!D26+хозяйственные!D27+хозяйственные!D28+хозяйственные!D29+хозяйственные!D30</f>
        <v>48904.63631725825</v>
      </c>
      <c r="F41" s="23">
        <f>хозяйственные!E26+хозяйственные!E27+хозяйственные!E28+хозяйственные!E29+хозяйственные!E30</f>
        <v>27302.0846167957</v>
      </c>
      <c r="G41" s="23">
        <f>хозяйственные!F26+хозяйственные!F27+хозяйственные!F28+хозяйственные!F29+хозяйственные!F30</f>
        <v>2385.7064750000104</v>
      </c>
      <c r="H41" s="44">
        <f t="shared" si="0"/>
        <v>125111.00000000003</v>
      </c>
    </row>
    <row r="42" spans="1:10" s="1" customFormat="1" ht="12.75">
      <c r="A42" s="234">
        <v>226</v>
      </c>
      <c r="B42" s="5" t="s">
        <v>229</v>
      </c>
      <c r="C42" s="5"/>
      <c r="D42" s="44">
        <f>SUM(D43:D50)</f>
        <v>32470.15775768828</v>
      </c>
      <c r="E42" s="44">
        <f>SUM(E43:E50)</f>
        <v>34135.64019401594</v>
      </c>
      <c r="F42" s="44">
        <f>SUM(F43:F50)</f>
        <v>19056.968974874588</v>
      </c>
      <c r="G42" s="44">
        <f>SUM(G43:G50)</f>
        <v>1665.233073421209</v>
      </c>
      <c r="H42" s="44">
        <f t="shared" si="0"/>
        <v>87328.00000000003</v>
      </c>
      <c r="J42" s="49">
        <f>H42-'[1]К хоз'!D34</f>
        <v>37328.00000000003</v>
      </c>
    </row>
    <row r="43" spans="1:8" s="1" customFormat="1" ht="12.75" customHeight="1" hidden="1">
      <c r="A43" s="235"/>
      <c r="B43" s="50" t="str">
        <f>хозяйственные!B31</f>
        <v>Мед. Осмотр</v>
      </c>
      <c r="C43" s="50"/>
      <c r="D43" s="62">
        <f>хозяйственные!C31</f>
        <v>0</v>
      </c>
      <c r="E43" s="62"/>
      <c r="F43" s="62"/>
      <c r="G43" s="62"/>
      <c r="H43" s="44">
        <f t="shared" si="0"/>
        <v>0</v>
      </c>
    </row>
    <row r="44" spans="1:8" s="1" customFormat="1" ht="12.75" customHeight="1" hidden="1">
      <c r="A44" s="235"/>
      <c r="B44" s="50" t="str">
        <f>хозяйственные!B32</f>
        <v>Подписка</v>
      </c>
      <c r="C44" s="50"/>
      <c r="D44" s="62">
        <f>хозяйственные!C32</f>
        <v>0</v>
      </c>
      <c r="E44" s="62"/>
      <c r="F44" s="62"/>
      <c r="G44" s="62"/>
      <c r="H44" s="44">
        <f t="shared" si="0"/>
        <v>0</v>
      </c>
    </row>
    <row r="45" spans="1:8" s="1" customFormat="1" ht="12.75" customHeight="1" hidden="1">
      <c r="A45" s="235"/>
      <c r="B45" s="50" t="str">
        <f>хозяйственные!B33</f>
        <v>Сан минимум</v>
      </c>
      <c r="C45" s="50"/>
      <c r="D45" s="62">
        <f>хозяйственные!C33</f>
        <v>0</v>
      </c>
      <c r="E45" s="62"/>
      <c r="F45" s="62"/>
      <c r="G45" s="62"/>
      <c r="H45" s="44">
        <f t="shared" si="0"/>
        <v>0</v>
      </c>
    </row>
    <row r="46" spans="1:8" s="1" customFormat="1" ht="12.75">
      <c r="A46" s="235"/>
      <c r="B46" s="50" t="str">
        <f>хозяйственные!B34</f>
        <v>Договора ГПХ</v>
      </c>
      <c r="C46" s="50"/>
      <c r="D46" s="62">
        <f>хозяйственные!C34</f>
        <v>14545.536042057134</v>
      </c>
      <c r="E46" s="62">
        <f>хозяйственные!D34</f>
        <v>15291.616026817326</v>
      </c>
      <c r="F46" s="62">
        <f>хозяйственные!E34</f>
        <v>8536.879652540925</v>
      </c>
      <c r="G46" s="62">
        <f>хозяйственные!F34</f>
        <v>745.96827858462</v>
      </c>
      <c r="H46" s="44">
        <f t="shared" si="0"/>
        <v>39120.00000000001</v>
      </c>
    </row>
    <row r="47" spans="1:8" s="1" customFormat="1" ht="25.5">
      <c r="A47" s="235"/>
      <c r="B47" s="50" t="str">
        <f>хозяйственные!B35</f>
        <v>Смывы и обследования Центра гигиены</v>
      </c>
      <c r="C47" s="50"/>
      <c r="D47" s="62">
        <f>хозяйственные!C35</f>
        <v>7815.622893763829</v>
      </c>
      <c r="E47" s="62">
        <f>хозяйственные!D35</f>
        <v>8216.507384552664</v>
      </c>
      <c r="F47" s="62">
        <f>хозяйственные!E35</f>
        <v>4587.045252975722</v>
      </c>
      <c r="G47" s="62">
        <f>хозяйственные!F35</f>
        <v>400.82446870778915</v>
      </c>
      <c r="H47" s="44">
        <f t="shared" si="0"/>
        <v>21020.000000000007</v>
      </c>
    </row>
    <row r="48" spans="1:8" s="1" customFormat="1" ht="12.75">
      <c r="A48" s="235"/>
      <c r="B48" s="50" t="str">
        <f>хозяйственные!B36</f>
        <v>ФГУП "Охрана"</v>
      </c>
      <c r="C48" s="50"/>
      <c r="D48" s="62">
        <f>хозяйственные!C36</f>
        <v>5732.696183446751</v>
      </c>
      <c r="E48" s="62">
        <f>хозяйственные!D36</f>
        <v>6026.7417152727385</v>
      </c>
      <c r="F48" s="62">
        <f>хозяйственные!E36</f>
        <v>3364.560595165541</v>
      </c>
      <c r="G48" s="62">
        <f>хозяйственные!F36</f>
        <v>294.0015061149711</v>
      </c>
      <c r="H48" s="44">
        <f t="shared" si="0"/>
        <v>15418.000000000004</v>
      </c>
    </row>
    <row r="49" spans="1:8" s="1" customFormat="1" ht="12.75">
      <c r="A49" s="235"/>
      <c r="B49" s="50" t="str">
        <f>хозяйственные!B37</f>
        <v>Утилизация</v>
      </c>
      <c r="C49" s="50"/>
      <c r="D49" s="62">
        <f>хозяйственные!C37</f>
        <v>658.1185785900084</v>
      </c>
      <c r="E49" s="62">
        <f>хозяйственные!D37</f>
        <v>691.8752650170416</v>
      </c>
      <c r="F49" s="62">
        <f>хозяйственные!E37</f>
        <v>386.2545241563762</v>
      </c>
      <c r="G49" s="62">
        <f>хозяйственные!F37</f>
        <v>33.75163223657406</v>
      </c>
      <c r="H49" s="44">
        <f t="shared" si="0"/>
        <v>1770.0000000000002</v>
      </c>
    </row>
    <row r="50" spans="1:8" s="1" customFormat="1" ht="25.5">
      <c r="A50" s="236"/>
      <c r="B50" s="50" t="str">
        <f>хозяйственные!B38</f>
        <v>Найм жилья при служебных командировках</v>
      </c>
      <c r="C50" s="50"/>
      <c r="D50" s="62">
        <f>хозяйственные!C38</f>
        <v>3718.1840598305557</v>
      </c>
      <c r="E50" s="62">
        <f>хозяйственные!D38</f>
        <v>3908.899802356167</v>
      </c>
      <c r="F50" s="62">
        <f>хозяйственные!E38</f>
        <v>2182.2289500360234</v>
      </c>
      <c r="G50" s="62">
        <f>хозяйственные!F38</f>
        <v>190.6871877772546</v>
      </c>
      <c r="H50" s="44">
        <f t="shared" si="0"/>
        <v>10000</v>
      </c>
    </row>
    <row r="51" spans="1:10" s="1" customFormat="1" ht="12.75">
      <c r="A51" s="4">
        <v>290</v>
      </c>
      <c r="B51" s="5" t="str">
        <f>'[1]К хоз'!B35</f>
        <v>Налоги, транспортный налог</v>
      </c>
      <c r="C51" s="5"/>
      <c r="D51" s="44">
        <f>хозяйственные!C40</f>
        <v>1859.0920299152779</v>
      </c>
      <c r="E51" s="44">
        <f>хозяйственные!D40</f>
        <v>1954.4499011780836</v>
      </c>
      <c r="F51" s="44">
        <f>хозяйственные!E40</f>
        <v>1091.1144750180117</v>
      </c>
      <c r="G51" s="44">
        <f>хозяйственные!F40</f>
        <v>95.3435938886273</v>
      </c>
      <c r="H51" s="44">
        <f t="shared" si="0"/>
        <v>5000</v>
      </c>
      <c r="J51" s="49">
        <f>H51-'[1]К хоз'!D35</f>
        <v>-2000</v>
      </c>
    </row>
    <row r="52" spans="1:10" s="1" customFormat="1" ht="12.75">
      <c r="A52" s="226">
        <v>340</v>
      </c>
      <c r="B52" s="5" t="s">
        <v>231</v>
      </c>
      <c r="C52" s="5"/>
      <c r="D52" s="44">
        <f>SUM(D53:D61)</f>
        <v>39412.5651250009</v>
      </c>
      <c r="E52" s="44">
        <f>SUM(E53:E61)</f>
        <v>41434.142459985254</v>
      </c>
      <c r="F52" s="44">
        <f>SUM(F53:F61)</f>
        <v>23131.51775893435</v>
      </c>
      <c r="G52" s="44">
        <f>SUM(G53:G61)</f>
        <v>2021.27465607951</v>
      </c>
      <c r="H52" s="44">
        <f t="shared" si="0"/>
        <v>105999.50000000001</v>
      </c>
      <c r="J52" s="49">
        <f>H52-'[1]К хоз'!D39</f>
        <v>95999.50000000001</v>
      </c>
    </row>
    <row r="53" spans="1:10" s="1" customFormat="1" ht="12.75">
      <c r="A53" s="226"/>
      <c r="B53" s="50" t="str">
        <f>хозяйственные!B41</f>
        <v>Медикаменты</v>
      </c>
      <c r="C53" s="5"/>
      <c r="D53" s="51">
        <f>хозяйственные!C41</f>
        <v>9667.278555559446</v>
      </c>
      <c r="E53" s="51">
        <f>хозяйственные!D41</f>
        <v>10163.139486126036</v>
      </c>
      <c r="F53" s="51">
        <f>хозяйственные!E41</f>
        <v>5673.795270093662</v>
      </c>
      <c r="G53" s="51">
        <f>хозяйственные!F41</f>
        <v>495.786688220862</v>
      </c>
      <c r="H53" s="44">
        <f t="shared" si="0"/>
        <v>26000.000000000004</v>
      </c>
      <c r="J53" s="49"/>
    </row>
    <row r="54" spans="1:10" s="1" customFormat="1" ht="12.75">
      <c r="A54" s="226"/>
      <c r="B54" s="50" t="str">
        <f>хозяйственные!B42</f>
        <v>Мягкий инвентарь</v>
      </c>
      <c r="C54" s="5"/>
      <c r="D54" s="51">
        <f>хозяйственные!C42</f>
        <v>0</v>
      </c>
      <c r="E54" s="51">
        <f>хозяйственные!D42</f>
        <v>0</v>
      </c>
      <c r="F54" s="51">
        <f>хозяйственные!E42</f>
        <v>0</v>
      </c>
      <c r="G54" s="51">
        <f>хозяйственные!F42</f>
        <v>0</v>
      </c>
      <c r="H54" s="44">
        <f t="shared" si="0"/>
        <v>0</v>
      </c>
      <c r="J54" s="49"/>
    </row>
    <row r="55" spans="1:10" s="1" customFormat="1" ht="12.75">
      <c r="A55" s="226"/>
      <c r="B55" s="50" t="str">
        <f>хозяйственные!B43</f>
        <v>Посуда</v>
      </c>
      <c r="C55" s="5"/>
      <c r="D55" s="51">
        <f>хозяйственные!C43</f>
        <v>0</v>
      </c>
      <c r="E55" s="51">
        <f>хозяйственные!D43</f>
        <v>0</v>
      </c>
      <c r="F55" s="51">
        <f>хозяйственные!E43</f>
        <v>0</v>
      </c>
      <c r="G55" s="51">
        <f>хозяйственные!F43</f>
        <v>0</v>
      </c>
      <c r="H55" s="44">
        <f t="shared" si="0"/>
        <v>0</v>
      </c>
      <c r="J55" s="49"/>
    </row>
    <row r="56" spans="1:10" s="1" customFormat="1" ht="12.75">
      <c r="A56" s="226"/>
      <c r="B56" s="50" t="str">
        <f>хозяйственные!B44</f>
        <v>Канцтовары</v>
      </c>
      <c r="C56" s="5"/>
      <c r="D56" s="51">
        <f>хозяйственные!C44</f>
        <v>2974.3613386614534</v>
      </c>
      <c r="E56" s="51">
        <f>хозяйственные!D44</f>
        <v>3126.9243968948163</v>
      </c>
      <c r="F56" s="51">
        <f>хозяйственные!E44</f>
        <v>1745.6740485813173</v>
      </c>
      <c r="G56" s="51">
        <f>хозяйственные!F44</f>
        <v>152.5402158624148</v>
      </c>
      <c r="H56" s="44">
        <f t="shared" si="0"/>
        <v>7999.500000000002</v>
      </c>
      <c r="J56" s="49"/>
    </row>
    <row r="57" spans="1:10" s="1" customFormat="1" ht="12.75">
      <c r="A57" s="226"/>
      <c r="B57" s="50" t="str">
        <f>хозяйственные!B45</f>
        <v>Продукты питания</v>
      </c>
      <c r="C57" s="5"/>
      <c r="D57" s="51">
        <f>хозяйственные!C45</f>
        <v>0</v>
      </c>
      <c r="E57" s="51">
        <f>хозяйственные!D45</f>
        <v>0</v>
      </c>
      <c r="F57" s="51">
        <f>хозяйственные!E45</f>
        <v>0</v>
      </c>
      <c r="G57" s="51">
        <f>хозяйственные!F45</f>
        <v>0</v>
      </c>
      <c r="H57" s="44">
        <f t="shared" si="0"/>
        <v>0</v>
      </c>
      <c r="J57" s="49"/>
    </row>
    <row r="58" spans="1:10" s="1" customFormat="1" ht="12.75">
      <c r="A58" s="226"/>
      <c r="B58" s="50" t="str">
        <f>хозяйственные!B46</f>
        <v>Моющее</v>
      </c>
      <c r="C58" s="5"/>
      <c r="D58" s="51">
        <f>хозяйственные!C46</f>
        <v>11898.18899145778</v>
      </c>
      <c r="E58" s="51">
        <f>хозяйственные!D46</f>
        <v>12508.479367539736</v>
      </c>
      <c r="F58" s="51">
        <f>хозяйственные!E46</f>
        <v>6983.132640115276</v>
      </c>
      <c r="G58" s="51">
        <f>хозяйственные!F46</f>
        <v>610.1990008872148</v>
      </c>
      <c r="H58" s="44">
        <f t="shared" si="0"/>
        <v>32000.000000000007</v>
      </c>
      <c r="J58" s="49"/>
    </row>
    <row r="59" spans="1:10" s="1" customFormat="1" ht="25.5">
      <c r="A59" s="226"/>
      <c r="B59" s="50" t="str">
        <f>хозяйственные!B47</f>
        <v>Прочие хоз. Товары (тряпки,  метла и т.д.)</v>
      </c>
      <c r="C59" s="5"/>
      <c r="D59" s="51">
        <f>хозяйственные!C47</f>
        <v>11898.18899145778</v>
      </c>
      <c r="E59" s="51">
        <f>хозяйственные!D47</f>
        <v>12508.479367539736</v>
      </c>
      <c r="F59" s="51">
        <f>хозяйственные!E47</f>
        <v>6983.132640115276</v>
      </c>
      <c r="G59" s="51">
        <f>хозяйственные!F47</f>
        <v>610.1990008872148</v>
      </c>
      <c r="H59" s="44">
        <f>SUM(D59:G59)</f>
        <v>32000.000000000007</v>
      </c>
      <c r="J59" s="49"/>
    </row>
    <row r="60" spans="1:10" s="1" customFormat="1" ht="12.75">
      <c r="A60" s="226"/>
      <c r="B60" s="50" t="str">
        <f>хозяйственные!B48</f>
        <v>Прочие материалы</v>
      </c>
      <c r="C60" s="5"/>
      <c r="D60" s="51">
        <f>хозяйственные!C48</f>
        <v>2974.547247864445</v>
      </c>
      <c r="E60" s="51">
        <f>хозяйственные!D48</f>
        <v>3127.119841884934</v>
      </c>
      <c r="F60" s="51">
        <f>хозяйственные!E48</f>
        <v>1745.783160028819</v>
      </c>
      <c r="G60" s="51">
        <f>хозяйственные!F48</f>
        <v>152.5497502218037</v>
      </c>
      <c r="H60" s="44">
        <f t="shared" si="0"/>
        <v>8000.000000000002</v>
      </c>
      <c r="J60" s="49"/>
    </row>
    <row r="61" spans="1:10" s="1" customFormat="1" ht="12.75">
      <c r="A61" s="226"/>
      <c r="B61" s="50">
        <f>хозяйственные!B49</f>
        <v>0</v>
      </c>
      <c r="C61" s="5"/>
      <c r="D61" s="51">
        <f>хозяйственные!C49</f>
        <v>0</v>
      </c>
      <c r="E61" s="51">
        <f>хозяйственные!D49</f>
        <v>0</v>
      </c>
      <c r="F61" s="51">
        <f>хозяйственные!E49</f>
        <v>0</v>
      </c>
      <c r="G61" s="51">
        <f>хозяйственные!F49</f>
        <v>0</v>
      </c>
      <c r="H61" s="44">
        <f t="shared" si="0"/>
        <v>0</v>
      </c>
      <c r="J61" s="49"/>
    </row>
    <row r="62" spans="1:8" s="55" customFormat="1" ht="12.75" customHeight="1">
      <c r="A62" s="56"/>
      <c r="B62" s="57" t="s">
        <v>237</v>
      </c>
      <c r="C62" s="57"/>
      <c r="D62" s="58">
        <f>D63</f>
        <v>198481.64352127284</v>
      </c>
      <c r="E62" s="58">
        <f>E63</f>
        <v>208662.30521331084</v>
      </c>
      <c r="F62" s="58">
        <f>F63</f>
        <v>116490.3032160786</v>
      </c>
      <c r="G62" s="58">
        <f>G63</f>
        <v>10179.137401337754</v>
      </c>
      <c r="H62" s="221">
        <f t="shared" si="0"/>
        <v>533813.3893520001</v>
      </c>
    </row>
    <row r="63" spans="1:8" s="1" customFormat="1" ht="12.75">
      <c r="A63" s="226">
        <v>223</v>
      </c>
      <c r="B63" s="5" t="s">
        <v>238</v>
      </c>
      <c r="C63" s="5"/>
      <c r="D63" s="44">
        <f>D64+D65</f>
        <v>198481.64352127284</v>
      </c>
      <c r="E63" s="44">
        <f>E64+E65</f>
        <v>208662.30521331084</v>
      </c>
      <c r="F63" s="44">
        <f>F64+F65</f>
        <v>116490.3032160786</v>
      </c>
      <c r="G63" s="44">
        <f>G64+G65</f>
        <v>10179.137401337754</v>
      </c>
      <c r="H63" s="44">
        <f t="shared" si="0"/>
        <v>533813.3893520001</v>
      </c>
    </row>
    <row r="64" spans="1:8" ht="12.75">
      <c r="A64" s="226"/>
      <c r="B64" s="15" t="str">
        <f>'[2]К имущ'!B8</f>
        <v>Тепловая энергия</v>
      </c>
      <c r="C64" s="15"/>
      <c r="D64" s="27">
        <f>имущ!C8</f>
        <v>188884.56823988538</v>
      </c>
      <c r="E64" s="27">
        <f>имущ!D8</f>
        <v>198572.9699176498</v>
      </c>
      <c r="F64" s="27">
        <f>имущ!E8</f>
        <v>110857.710752199</v>
      </c>
      <c r="G64" s="27">
        <f>имущ!F8</f>
        <v>9686.951090265844</v>
      </c>
      <c r="H64" s="44">
        <f t="shared" si="0"/>
        <v>508002.2</v>
      </c>
    </row>
    <row r="65" spans="1:8" ht="12.75">
      <c r="A65" s="226"/>
      <c r="B65" s="15" t="str">
        <f>'[2]К имущ'!B9</f>
        <v>Электрическая энергия</v>
      </c>
      <c r="C65" s="15"/>
      <c r="D65" s="27">
        <f>имущ!C9</f>
        <v>9597.075281387457</v>
      </c>
      <c r="E65" s="27">
        <f>имущ!D9</f>
        <v>10089.33529566104</v>
      </c>
      <c r="F65" s="27">
        <f>имущ!E9</f>
        <v>5632.592463879595</v>
      </c>
      <c r="G65" s="27">
        <f>имущ!F9</f>
        <v>492.18631107190976</v>
      </c>
      <c r="H65" s="44">
        <f t="shared" si="0"/>
        <v>25811.189352</v>
      </c>
    </row>
    <row r="66" spans="1:8" ht="24" customHeight="1">
      <c r="A66" s="4"/>
      <c r="B66" s="15" t="s">
        <v>470</v>
      </c>
      <c r="C66" s="15"/>
      <c r="D66" s="27">
        <f>Утверждаю!G17</f>
        <v>0</v>
      </c>
      <c r="E66" s="27">
        <f>Утверждаю!G18</f>
        <v>0</v>
      </c>
      <c r="F66" s="27">
        <f>Утверждаю!G19</f>
        <v>1913686.296</v>
      </c>
      <c r="G66" s="27">
        <f>Утверждаю!G20</f>
        <v>36000</v>
      </c>
      <c r="H66" s="44">
        <f t="shared" si="0"/>
        <v>1949686.296</v>
      </c>
    </row>
    <row r="67" spans="1:10" s="1" customFormat="1" ht="25.5">
      <c r="A67" s="4"/>
      <c r="B67" s="5" t="s">
        <v>239</v>
      </c>
      <c r="C67" s="5"/>
      <c r="D67" s="44">
        <f>D5+D22+D62-D66</f>
        <v>7119983.979964855</v>
      </c>
      <c r="E67" s="44">
        <f>E5+E22+E62-E66</f>
        <v>7485187.264594969</v>
      </c>
      <c r="F67" s="44">
        <f>F5+F22+F62-F66</f>
        <v>4603072.138398979</v>
      </c>
      <c r="G67" s="44">
        <f>G5+G22+G62-G66</f>
        <v>329148.604886568</v>
      </c>
      <c r="H67" s="44">
        <f t="shared" si="0"/>
        <v>19537391.987845372</v>
      </c>
      <c r="I67" s="49">
        <f>H5+H22+H62</f>
        <v>20641213.301476404</v>
      </c>
      <c r="J67" s="49">
        <f>D67-'По кодам'!C54</f>
        <v>0</v>
      </c>
    </row>
    <row r="68" spans="1:10" s="1" customFormat="1" ht="12.75">
      <c r="A68" s="4"/>
      <c r="B68" s="5" t="s">
        <v>248</v>
      </c>
      <c r="C68" s="5"/>
      <c r="D68" s="44">
        <f>'род плата'!C6</f>
        <v>18499.827999999998</v>
      </c>
      <c r="E68" s="44">
        <f>'род плата'!C12</f>
        <v>14900.009999999998</v>
      </c>
      <c r="F68" s="44">
        <f>'род плата'!C6+'род плата'!C12</f>
        <v>33399.837999999996</v>
      </c>
      <c r="G68" s="44">
        <f>'род плата'!C16</f>
        <v>800</v>
      </c>
      <c r="H68" s="44"/>
      <c r="J68" s="49"/>
    </row>
    <row r="69" spans="1:10" s="1" customFormat="1" ht="15" customHeight="1">
      <c r="A69" s="4"/>
      <c r="B69" s="5" t="s">
        <v>249</v>
      </c>
      <c r="C69" s="5"/>
      <c r="D69" s="44">
        <f>D67/D68</f>
        <v>384.86757714530404</v>
      </c>
      <c r="E69" s="44">
        <f>E67/E68</f>
        <v>502.36122422702874</v>
      </c>
      <c r="F69" s="44">
        <f>F67/F68</f>
        <v>137.8171995444702</v>
      </c>
      <c r="G69" s="44">
        <f>G67/G68</f>
        <v>411.43575610820994</v>
      </c>
      <c r="H69" s="44"/>
      <c r="J69" s="49"/>
    </row>
    <row r="70" spans="1:10" s="1" customFormat="1" ht="15" customHeight="1">
      <c r="A70" s="4"/>
      <c r="B70" s="5" t="s">
        <v>254</v>
      </c>
      <c r="C70" s="5"/>
      <c r="D70" s="44">
        <f>'род плата'!B3+'род плата'!B4+'род плата'!B5</f>
        <v>123</v>
      </c>
      <c r="E70" s="44">
        <f>'род плата'!B9+'род плата'!B10+'род плата'!B11</f>
        <v>104</v>
      </c>
      <c r="F70" s="44">
        <f>'род плата'!B3+'род плата'!B4+'род плата'!B5+'род плата'!B9+'род плата'!B10+'род плата'!B11</f>
        <v>227</v>
      </c>
      <c r="G70" s="44"/>
      <c r="H70" s="44"/>
      <c r="J70" s="49"/>
    </row>
    <row r="71" spans="1:10" s="1" customFormat="1" ht="15" customHeight="1">
      <c r="A71" s="4"/>
      <c r="B71" s="5" t="s">
        <v>255</v>
      </c>
      <c r="C71" s="5"/>
      <c r="D71" s="44">
        <f>D67/D70/12</f>
        <v>4823.837384800037</v>
      </c>
      <c r="E71" s="44">
        <f>E67/E70/12</f>
        <v>5997.7462056049435</v>
      </c>
      <c r="F71" s="44">
        <f>F67/F70/12</f>
        <v>1689.820902495954</v>
      </c>
      <c r="G71" s="44"/>
      <c r="H71" s="44"/>
      <c r="J71" s="49"/>
    </row>
    <row r="72" spans="1:10" s="1" customFormat="1" ht="15" customHeight="1">
      <c r="A72" s="73"/>
      <c r="B72" s="74"/>
      <c r="C72" s="74"/>
      <c r="D72" s="75"/>
      <c r="E72" s="75"/>
      <c r="F72" s="75"/>
      <c r="G72" s="75"/>
      <c r="H72" s="75"/>
      <c r="J72" s="49"/>
    </row>
    <row r="73" spans="1:8" ht="31.5" customHeight="1">
      <c r="A73" s="225" t="s">
        <v>485</v>
      </c>
      <c r="B73" s="225"/>
      <c r="C73" s="225"/>
      <c r="D73" s="225"/>
      <c r="E73" s="225"/>
      <c r="F73" s="225"/>
      <c r="G73" s="225"/>
      <c r="H73" s="225"/>
    </row>
    <row r="74" spans="1:8" ht="12.75">
      <c r="A74" s="237" t="s">
        <v>240</v>
      </c>
      <c r="B74" s="237"/>
      <c r="C74" s="237"/>
      <c r="D74" s="237"/>
      <c r="E74" s="237"/>
      <c r="F74" s="237"/>
      <c r="G74" s="237"/>
      <c r="H74" s="237"/>
    </row>
    <row r="75" spans="1:8" ht="12.75" customHeight="1">
      <c r="A75" s="226" t="s">
        <v>198</v>
      </c>
      <c r="B75" s="227" t="s">
        <v>199</v>
      </c>
      <c r="C75" s="228" t="s">
        <v>223</v>
      </c>
      <c r="D75" s="230" t="s">
        <v>200</v>
      </c>
      <c r="E75" s="231"/>
      <c r="F75" s="231"/>
      <c r="G75" s="232"/>
      <c r="H75" s="227" t="s">
        <v>201</v>
      </c>
    </row>
    <row r="76" spans="1:8" ht="105" customHeight="1">
      <c r="A76" s="226"/>
      <c r="B76" s="227"/>
      <c r="C76" s="229"/>
      <c r="D76" s="42" t="str">
        <f>D4</f>
        <v>Реализация общеобразовательной программы дошкольного образования в группах общеразвивающей направленности</v>
      </c>
      <c r="E76" s="42" t="str">
        <f>E4</f>
        <v>Реализация общеобразовательной программы дошкольного образования в компенсирующих группах</v>
      </c>
      <c r="F76" s="42" t="str">
        <f>F4</f>
        <v>Присмотр и уход за детьми, осваивающими образовательные программы в образовательных организациях в группах полного дня</v>
      </c>
      <c r="G76" s="42" t="str">
        <f>G4</f>
        <v>Присмотр и уход за детьми, осваивающими образовательные программы в образовательных организациях в группах кратковременного пребывания</v>
      </c>
      <c r="H76" s="227"/>
    </row>
    <row r="77" spans="1:8" ht="25.5">
      <c r="A77" s="52"/>
      <c r="B77" s="53" t="s">
        <v>224</v>
      </c>
      <c r="C77" s="53"/>
      <c r="D77" s="54">
        <f>D78+D79+D80+D81+D84+D88+D89</f>
        <v>5937157.259564948</v>
      </c>
      <c r="E77" s="54">
        <f>E78+E79+E80+E81+E84+E88+E89</f>
        <v>6241690.15439449</v>
      </c>
      <c r="F77" s="54">
        <f>F78+F79+F80+F81+F84+F88+F89</f>
        <v>5939448.363351332</v>
      </c>
      <c r="G77" s="54">
        <f>G78+G79+G80+G81+G84+G88+G89</f>
        <v>304487.2989072373</v>
      </c>
      <c r="H77" s="54">
        <f>H78+H79+H80+H81+H84+H88+H89</f>
        <v>18422783.076218005</v>
      </c>
    </row>
    <row r="78" spans="1:8" ht="25.5">
      <c r="A78" s="41">
        <v>211</v>
      </c>
      <c r="B78" s="5" t="str">
        <f>B6</f>
        <v>Заработная плата основных рабочих</v>
      </c>
      <c r="C78" s="5">
        <v>1.05</v>
      </c>
      <c r="D78" s="44">
        <f>C78*D6</f>
        <v>4545134.336888622</v>
      </c>
      <c r="E78" s="44">
        <f>C78*E6</f>
        <v>4778266.601453778</v>
      </c>
      <c r="F78" s="44">
        <f>C78*F6</f>
        <v>2667572.0115408003</v>
      </c>
      <c r="G78" s="44">
        <f>C78*G6</f>
        <v>233097.35904000004</v>
      </c>
      <c r="H78" s="44">
        <f>SUM(D78:G78)</f>
        <v>12224070.3089232</v>
      </c>
    </row>
    <row r="79" spans="1:8" ht="25.5">
      <c r="A79" s="41">
        <v>212</v>
      </c>
      <c r="B79" s="5" t="s">
        <v>226</v>
      </c>
      <c r="C79" s="5">
        <v>1.05</v>
      </c>
      <c r="D79" s="44">
        <f>C79*D7</f>
        <v>0</v>
      </c>
      <c r="E79" s="44">
        <f>C79*E7</f>
        <v>0</v>
      </c>
      <c r="F79" s="44">
        <f>C79*F7</f>
        <v>0</v>
      </c>
      <c r="G79" s="44">
        <f>C79*G7</f>
        <v>0</v>
      </c>
      <c r="H79" s="44">
        <f aca="true" t="shared" si="2" ref="H79:H137">SUM(D79:G79)</f>
        <v>0</v>
      </c>
    </row>
    <row r="80" spans="1:8" ht="25.5">
      <c r="A80" s="41">
        <v>213</v>
      </c>
      <c r="B80" s="5" t="s">
        <v>227</v>
      </c>
      <c r="C80" s="5">
        <v>1.05</v>
      </c>
      <c r="D80" s="44">
        <f>C80*D8</f>
        <v>1372630.5697403636</v>
      </c>
      <c r="E80" s="44">
        <f>C80*E8</f>
        <v>1443036.513639041</v>
      </c>
      <c r="F80" s="44">
        <f>C80*F8</f>
        <v>805606.7474853217</v>
      </c>
      <c r="G80" s="44">
        <f>C80*G8</f>
        <v>70395.40243008001</v>
      </c>
      <c r="H80" s="44">
        <f t="shared" si="2"/>
        <v>3691669.2332948064</v>
      </c>
    </row>
    <row r="81" spans="1:8" ht="12.75">
      <c r="A81" s="233">
        <v>225</v>
      </c>
      <c r="B81" s="5" t="s">
        <v>228</v>
      </c>
      <c r="C81" s="5"/>
      <c r="D81" s="4">
        <f>D82+D83</f>
        <v>0</v>
      </c>
      <c r="E81" s="4">
        <f>E82+E83</f>
        <v>0</v>
      </c>
      <c r="F81" s="44">
        <f>F82+F83</f>
        <v>0</v>
      </c>
      <c r="G81" s="4">
        <f>G82+G83</f>
        <v>0</v>
      </c>
      <c r="H81" s="44">
        <f t="shared" si="2"/>
        <v>0</v>
      </c>
    </row>
    <row r="82" spans="1:8" ht="12.75">
      <c r="A82" s="233"/>
      <c r="B82" s="15"/>
      <c r="C82" s="15"/>
      <c r="D82" s="32">
        <f>C82*D11</f>
        <v>0</v>
      </c>
      <c r="E82" s="32">
        <f>C82*E11</f>
        <v>0</v>
      </c>
      <c r="F82" s="44">
        <f>C82*F10</f>
        <v>0</v>
      </c>
      <c r="G82" s="44">
        <f>C82*G10</f>
        <v>0</v>
      </c>
      <c r="H82" s="44">
        <f t="shared" si="2"/>
        <v>0</v>
      </c>
    </row>
    <row r="83" spans="1:8" ht="12.75">
      <c r="A83" s="233"/>
      <c r="B83" s="15"/>
      <c r="C83" s="15"/>
      <c r="D83" s="32">
        <f>C83*D12</f>
        <v>0</v>
      </c>
      <c r="E83" s="32">
        <f>C83*E12</f>
        <v>0</v>
      </c>
      <c r="F83" s="44">
        <f>C83*F11</f>
        <v>0</v>
      </c>
      <c r="G83" s="44">
        <f>C83*G11</f>
        <v>0</v>
      </c>
      <c r="H83" s="44">
        <f t="shared" si="2"/>
        <v>0</v>
      </c>
    </row>
    <row r="84" spans="1:8" ht="12.75">
      <c r="A84" s="226">
        <v>226</v>
      </c>
      <c r="B84" s="5" t="s">
        <v>229</v>
      </c>
      <c r="C84" s="5"/>
      <c r="D84" s="44">
        <f>SUM(D85:D87)</f>
        <v>19392.352935963303</v>
      </c>
      <c r="E84" s="44">
        <f>SUM(E85:E87)</f>
        <v>20387.039301669873</v>
      </c>
      <c r="F84" s="44">
        <f>SUM(F85:F87)</f>
        <v>11381.511325209576</v>
      </c>
      <c r="G84" s="44">
        <f>SUM(G85:G87)</f>
        <v>994.5374371572522</v>
      </c>
      <c r="H84" s="44">
        <f t="shared" si="2"/>
        <v>52155.441000000006</v>
      </c>
    </row>
    <row r="85" spans="1:8" ht="12.75">
      <c r="A85" s="226"/>
      <c r="B85" s="50" t="str">
        <f>B14</f>
        <v>Мед. Осмотр</v>
      </c>
      <c r="C85" s="50">
        <v>1.069</v>
      </c>
      <c r="D85" s="44">
        <f>C85*D14</f>
        <v>19392.352935963303</v>
      </c>
      <c r="E85" s="44">
        <f>C85*E14</f>
        <v>20387.039301669873</v>
      </c>
      <c r="F85" s="44">
        <f>C85*F14</f>
        <v>11381.511325209576</v>
      </c>
      <c r="G85" s="44">
        <f>C85*G14</f>
        <v>994.5374371572522</v>
      </c>
      <c r="H85" s="44">
        <f t="shared" si="2"/>
        <v>52155.441000000006</v>
      </c>
    </row>
    <row r="86" spans="1:8" ht="12.75">
      <c r="A86" s="226"/>
      <c r="B86" s="50" t="str">
        <f>B15</f>
        <v>Подписка</v>
      </c>
      <c r="C86" s="50">
        <v>1.069</v>
      </c>
      <c r="D86" s="44">
        <f>C86*D15</f>
        <v>0</v>
      </c>
      <c r="E86" s="44">
        <f>C86*E15</f>
        <v>0</v>
      </c>
      <c r="F86" s="44">
        <f>C86*F15</f>
        <v>0</v>
      </c>
      <c r="G86" s="44">
        <f>C86*G15</f>
        <v>0</v>
      </c>
      <c r="H86" s="44">
        <f t="shared" si="2"/>
        <v>0</v>
      </c>
    </row>
    <row r="87" spans="1:8" ht="12.75">
      <c r="A87" s="226"/>
      <c r="B87" s="50" t="str">
        <f>B16</f>
        <v>Сан минимум</v>
      </c>
      <c r="C87" s="50">
        <v>1.069</v>
      </c>
      <c r="D87" s="44">
        <f>C87*D16</f>
        <v>0</v>
      </c>
      <c r="E87" s="44">
        <f>C87*E16</f>
        <v>0</v>
      </c>
      <c r="F87" s="44">
        <f>C87*F16</f>
        <v>0</v>
      </c>
      <c r="G87" s="44">
        <f>C87*G16</f>
        <v>0</v>
      </c>
      <c r="H87" s="44">
        <f t="shared" si="2"/>
        <v>0</v>
      </c>
    </row>
    <row r="88" spans="1:8" ht="12.75">
      <c r="A88" s="4">
        <v>290</v>
      </c>
      <c r="B88" s="5" t="s">
        <v>230</v>
      </c>
      <c r="C88" s="5"/>
      <c r="D88" s="4">
        <f>C88*D18</f>
        <v>0</v>
      </c>
      <c r="E88" s="4">
        <f>C88*E18</f>
        <v>0</v>
      </c>
      <c r="F88" s="44">
        <f>C88*F18</f>
        <v>0</v>
      </c>
      <c r="G88" s="44">
        <f>C88*G18</f>
        <v>0</v>
      </c>
      <c r="H88" s="44">
        <f t="shared" si="2"/>
        <v>0</v>
      </c>
    </row>
    <row r="89" spans="1:8" ht="12.75">
      <c r="A89" s="233">
        <v>340</v>
      </c>
      <c r="B89" s="5" t="s">
        <v>231</v>
      </c>
      <c r="C89" s="5"/>
      <c r="D89" s="44">
        <f>D90+D91</f>
        <v>0</v>
      </c>
      <c r="E89" s="44">
        <f>E90+E91</f>
        <v>0</v>
      </c>
      <c r="F89" s="44">
        <f>F90+F91</f>
        <v>2454888.093</v>
      </c>
      <c r="G89" s="44">
        <f>G90+G91</f>
        <v>0</v>
      </c>
      <c r="H89" s="44">
        <f t="shared" si="2"/>
        <v>2454888.093</v>
      </c>
    </row>
    <row r="90" spans="1:8" ht="12.75">
      <c r="A90" s="233"/>
      <c r="B90" s="50" t="str">
        <f>B20</f>
        <v>Продукты питания</v>
      </c>
      <c r="C90" s="50">
        <v>1.05</v>
      </c>
      <c r="D90" s="27">
        <f>C90*D20</f>
        <v>0</v>
      </c>
      <c r="E90" s="27">
        <f>C90*E20</f>
        <v>0</v>
      </c>
      <c r="F90" s="44">
        <f>C90*F20</f>
        <v>2454888.093</v>
      </c>
      <c r="G90" s="44">
        <f>C90*G20</f>
        <v>0</v>
      </c>
      <c r="H90" s="44">
        <f t="shared" si="2"/>
        <v>2454888.093</v>
      </c>
    </row>
    <row r="91" spans="1:8" ht="12.75">
      <c r="A91" s="233"/>
      <c r="B91" s="50" t="str">
        <f>B21</f>
        <v>Мягкий инвентарь</v>
      </c>
      <c r="C91" s="50">
        <v>1.05</v>
      </c>
      <c r="D91" s="32">
        <f>C91*D21</f>
        <v>0</v>
      </c>
      <c r="E91" s="32">
        <f>C91*E21</f>
        <v>0</v>
      </c>
      <c r="F91" s="44"/>
      <c r="G91" s="44">
        <f>C91*G21</f>
        <v>0</v>
      </c>
      <c r="H91" s="51">
        <f t="shared" si="2"/>
        <v>0</v>
      </c>
    </row>
    <row r="92" spans="1:10" s="55" customFormat="1" ht="12.75">
      <c r="A92" s="56"/>
      <c r="B92" s="57" t="str">
        <f>B22</f>
        <v>Общехозяйственные расходы:</v>
      </c>
      <c r="C92" s="57"/>
      <c r="D92" s="58">
        <f>D93+D97+D100+D104+D105+D110+D111+D112+D121+D122+D96</f>
        <v>1352486.3632658876</v>
      </c>
      <c r="E92" s="58">
        <f>E93+E97+E100+E104+E105+E110+E111+E112+E121+E122+E96</f>
        <v>1421859.0561921687</v>
      </c>
      <c r="F92" s="58">
        <f>F93+F97+F100+F104+F105+F110+F111+F112+F121+F122+F96</f>
        <v>793783.9679142351</v>
      </c>
      <c r="G92" s="58">
        <f>G93+G97+G100+G104+G105+G110+G111+G112+G121+G122+G96</f>
        <v>69362.306160285</v>
      </c>
      <c r="H92" s="221">
        <f t="shared" si="2"/>
        <v>3637491.693532577</v>
      </c>
      <c r="J92" s="59"/>
    </row>
    <row r="93" spans="1:8" ht="12.75">
      <c r="A93" s="233">
        <v>211</v>
      </c>
      <c r="B93" s="5" t="s">
        <v>233</v>
      </c>
      <c r="C93" s="5"/>
      <c r="D93" s="44">
        <f>D94+D95</f>
        <v>615587.4966912309</v>
      </c>
      <c r="E93" s="44">
        <f>E94+E95</f>
        <v>647162.6486018925</v>
      </c>
      <c r="F93" s="44">
        <f>F94+F95</f>
        <v>361292.7264878404</v>
      </c>
      <c r="G93" s="44">
        <f>G94+G95</f>
        <v>31570.424348556924</v>
      </c>
      <c r="H93" s="44">
        <f t="shared" si="2"/>
        <v>1655613.296129521</v>
      </c>
    </row>
    <row r="94" spans="1:8" ht="26.25" customHeight="1">
      <c r="A94" s="233"/>
      <c r="B94" s="60" t="str">
        <f>B24</f>
        <v>Заработная плата административно-управленческого персонала</v>
      </c>
      <c r="C94" s="64">
        <v>1.05</v>
      </c>
      <c r="D94" s="27">
        <f>C94*D24</f>
        <v>242684.0778509669</v>
      </c>
      <c r="E94" s="27">
        <f>C94*E24</f>
        <v>255132.00225753855</v>
      </c>
      <c r="F94" s="44">
        <f>C94*F24</f>
        <v>142433.02963955762</v>
      </c>
      <c r="G94" s="44">
        <f>C94*G24</f>
        <v>12446.0606519372</v>
      </c>
      <c r="H94" s="44">
        <f t="shared" si="2"/>
        <v>652695.1704000002</v>
      </c>
    </row>
    <row r="95" spans="1:8" ht="24" customHeight="1">
      <c r="A95" s="233"/>
      <c r="B95" s="60" t="str">
        <f>B25</f>
        <v>Заработная плата обслуживающего персонала</v>
      </c>
      <c r="C95" s="65">
        <v>1.05</v>
      </c>
      <c r="D95" s="27">
        <f>C95*D25</f>
        <v>372903.41884026397</v>
      </c>
      <c r="E95" s="27">
        <f>C95*E25</f>
        <v>392030.64634435397</v>
      </c>
      <c r="F95" s="44">
        <f>C95*F25</f>
        <v>218859.6968482828</v>
      </c>
      <c r="G95" s="44">
        <f>C95*G25</f>
        <v>19124.363696619726</v>
      </c>
      <c r="H95" s="44">
        <f t="shared" si="2"/>
        <v>1002918.1257295205</v>
      </c>
    </row>
    <row r="96" spans="1:8" ht="12.75">
      <c r="A96" s="4">
        <v>212</v>
      </c>
      <c r="B96" s="5" t="str">
        <f>B26</f>
        <v>Суточные на коммандировки</v>
      </c>
      <c r="C96" s="5">
        <v>1.05</v>
      </c>
      <c r="D96" s="61">
        <f>C96*D26</f>
        <v>3747.9295323092006</v>
      </c>
      <c r="E96" s="61">
        <f>C96*E26</f>
        <v>3940.171000775017</v>
      </c>
      <c r="F96" s="44">
        <f>C96*F26</f>
        <v>2199.686781636312</v>
      </c>
      <c r="G96" s="44">
        <f>C96*G26</f>
        <v>192.21268527947265</v>
      </c>
      <c r="H96" s="44">
        <f t="shared" si="2"/>
        <v>10080.000000000002</v>
      </c>
    </row>
    <row r="97" spans="1:8" ht="25.5">
      <c r="A97" s="233">
        <v>213</v>
      </c>
      <c r="B97" s="5" t="s">
        <v>234</v>
      </c>
      <c r="C97" s="5"/>
      <c r="D97" s="44">
        <f>D98+D99</f>
        <v>185907.42400075172</v>
      </c>
      <c r="E97" s="44">
        <f>E98+E99</f>
        <v>195443.11987777153</v>
      </c>
      <c r="F97" s="44">
        <f>F98+F99</f>
        <v>109110.40339932778</v>
      </c>
      <c r="G97" s="44">
        <f>G98+G99</f>
        <v>9534.268153264191</v>
      </c>
      <c r="H97" s="44">
        <f t="shared" si="2"/>
        <v>499995.21543111524</v>
      </c>
    </row>
    <row r="98" spans="1:8" ht="25.5">
      <c r="A98" s="233"/>
      <c r="B98" s="15" t="str">
        <f>B28</f>
        <v>Начисления на з/п адм.-упр. персонала</v>
      </c>
      <c r="C98" s="15">
        <v>1.05</v>
      </c>
      <c r="D98" s="27">
        <f>C98*D28</f>
        <v>73290.591510992</v>
      </c>
      <c r="E98" s="27">
        <f>C98*E28</f>
        <v>77049.86468177663</v>
      </c>
      <c r="F98" s="44">
        <f>C98*F28</f>
        <v>43014.77495114639</v>
      </c>
      <c r="G98" s="44">
        <f>C98*G28</f>
        <v>3758.7103168850344</v>
      </c>
      <c r="H98" s="44">
        <f t="shared" si="2"/>
        <v>197113.94146080007</v>
      </c>
    </row>
    <row r="99" spans="1:8" ht="14.25" customHeight="1">
      <c r="A99" s="233"/>
      <c r="B99" s="15" t="str">
        <f>B29</f>
        <v>Начисления на з/п обсл. персонала</v>
      </c>
      <c r="C99" s="15">
        <v>1.05</v>
      </c>
      <c r="D99" s="27">
        <f>C99*D29</f>
        <v>112616.83248975972</v>
      </c>
      <c r="E99" s="27">
        <f>C99*E29</f>
        <v>118393.25519599489</v>
      </c>
      <c r="F99" s="44">
        <f>C99*F29</f>
        <v>66095.6284481814</v>
      </c>
      <c r="G99" s="44">
        <f>C99*G29</f>
        <v>5775.557836379157</v>
      </c>
      <c r="H99" s="44">
        <f t="shared" si="2"/>
        <v>302881.2739703152</v>
      </c>
    </row>
    <row r="100" spans="1:8" ht="12.75">
      <c r="A100" s="233">
        <v>221</v>
      </c>
      <c r="B100" s="5" t="s">
        <v>235</v>
      </c>
      <c r="C100" s="5"/>
      <c r="D100" s="44">
        <f>D101+D102+D103</f>
        <v>16836.99338718575</v>
      </c>
      <c r="E100" s="44">
        <f>E101+E102+E103</f>
        <v>17700.608432612593</v>
      </c>
      <c r="F100" s="44">
        <f>F101+F102+F103</f>
        <v>9881.752438784924</v>
      </c>
      <c r="G100" s="44">
        <f>G101+G102+G103</f>
        <v>863.4857414167376</v>
      </c>
      <c r="H100" s="44">
        <f t="shared" si="2"/>
        <v>45282.840000000004</v>
      </c>
    </row>
    <row r="101" spans="1:8" ht="12.75">
      <c r="A101" s="233"/>
      <c r="B101" s="15" t="str">
        <f>B31</f>
        <v>Оплата услуг тефонной связи</v>
      </c>
      <c r="C101" s="15">
        <v>1.069</v>
      </c>
      <c r="D101" s="27">
        <f>C101*D31</f>
        <v>16836.99338718575</v>
      </c>
      <c r="E101" s="27">
        <f>C101*E31</f>
        <v>17700.608432612593</v>
      </c>
      <c r="F101" s="44">
        <f>C101*F31</f>
        <v>9881.752438784924</v>
      </c>
      <c r="G101" s="44">
        <f>C101*G31</f>
        <v>863.4857414167376</v>
      </c>
      <c r="H101" s="44">
        <f t="shared" si="2"/>
        <v>45282.840000000004</v>
      </c>
    </row>
    <row r="102" spans="1:8" ht="12.75" hidden="1">
      <c r="A102" s="233"/>
      <c r="B102" s="15" t="str">
        <f>B32</f>
        <v>Оплата услуг сотовой связи</v>
      </c>
      <c r="C102" s="15">
        <v>1.054</v>
      </c>
      <c r="D102" s="27">
        <f>C102*D32</f>
        <v>0</v>
      </c>
      <c r="E102" s="27">
        <f>D102*E32</f>
        <v>0</v>
      </c>
      <c r="F102" s="27"/>
      <c r="G102" s="27"/>
      <c r="H102" s="27">
        <f t="shared" si="2"/>
        <v>0</v>
      </c>
    </row>
    <row r="103" spans="1:8" ht="12.75" hidden="1">
      <c r="A103" s="233"/>
      <c r="B103" s="15" t="str">
        <f>B33</f>
        <v>Оплата услуг почтовой связи</v>
      </c>
      <c r="C103" s="15">
        <v>1.054</v>
      </c>
      <c r="D103" s="27">
        <f>C103*D33</f>
        <v>0</v>
      </c>
      <c r="E103" s="27">
        <f>D103*E33</f>
        <v>0</v>
      </c>
      <c r="F103" s="27"/>
      <c r="G103" s="27"/>
      <c r="H103" s="27">
        <f t="shared" si="2"/>
        <v>0</v>
      </c>
    </row>
    <row r="104" spans="1:8" ht="12.75">
      <c r="A104" s="4">
        <v>222</v>
      </c>
      <c r="B104" s="5" t="str">
        <f>B34</f>
        <v>Транспортные услуги</v>
      </c>
      <c r="C104" s="5">
        <v>1.069</v>
      </c>
      <c r="D104" s="44">
        <f>C104*D34</f>
        <v>4769.686511950637</v>
      </c>
      <c r="E104" s="44">
        <f>C104*E34</f>
        <v>5014.336666462491</v>
      </c>
      <c r="F104" s="44">
        <f>C104*F34</f>
        <v>2799.363297106211</v>
      </c>
      <c r="G104" s="44">
        <f>C104*G34</f>
        <v>244.6135244806622</v>
      </c>
      <c r="H104" s="44">
        <f t="shared" si="2"/>
        <v>12828.000000000002</v>
      </c>
    </row>
    <row r="105" spans="1:8" ht="12.75">
      <c r="A105" s="226">
        <v>223</v>
      </c>
      <c r="B105" s="5" t="s">
        <v>236</v>
      </c>
      <c r="C105" s="5"/>
      <c r="D105" s="44">
        <f>D106+D107+D108+D109</f>
        <v>397827.31763853895</v>
      </c>
      <c r="E105" s="44">
        <f>E106+E107+E108+E109</f>
        <v>418232.95949475834</v>
      </c>
      <c r="F105" s="44">
        <f>F106+F107+F108+F109</f>
        <v>233487.7121993685</v>
      </c>
      <c r="G105" s="44">
        <f>G106+G107+G108+G109</f>
        <v>20402.5866392743</v>
      </c>
      <c r="H105" s="44">
        <f t="shared" si="2"/>
        <v>1069950.57597194</v>
      </c>
    </row>
    <row r="106" spans="1:8" ht="12.75">
      <c r="A106" s="226"/>
      <c r="B106" s="15" t="str">
        <f>B36</f>
        <v>Тепловая энергия</v>
      </c>
      <c r="C106" s="15">
        <v>1.105</v>
      </c>
      <c r="D106" s="27">
        <f aca="true" t="shared" si="3" ref="D106:D111">C106*D36</f>
        <v>208717.44790507335</v>
      </c>
      <c r="E106" s="27">
        <f aca="true" t="shared" si="4" ref="E106:E111">C106*E36</f>
        <v>219423.13175900304</v>
      </c>
      <c r="F106" s="44">
        <f aca="true" t="shared" si="5" ref="F106:F111">C106*F36</f>
        <v>122497.77038117989</v>
      </c>
      <c r="G106" s="44">
        <f aca="true" t="shared" si="6" ref="G106:G111">C106*G36</f>
        <v>10704.080954743757</v>
      </c>
      <c r="H106" s="44">
        <f t="shared" si="2"/>
        <v>561342.4310000001</v>
      </c>
    </row>
    <row r="107" spans="1:8" ht="12.75">
      <c r="A107" s="226"/>
      <c r="B107" s="15" t="str">
        <f>B37</f>
        <v>Электрическая энергия</v>
      </c>
      <c r="C107" s="15">
        <v>1.105</v>
      </c>
      <c r="D107" s="27">
        <f t="shared" si="3"/>
        <v>95442.91367339826</v>
      </c>
      <c r="E107" s="27">
        <f t="shared" si="4"/>
        <v>100338.43951534905</v>
      </c>
      <c r="F107" s="44">
        <f t="shared" si="5"/>
        <v>56016.13205328257</v>
      </c>
      <c r="G107" s="44">
        <f t="shared" si="6"/>
        <v>4894.792863610142</v>
      </c>
      <c r="H107" s="44">
        <f t="shared" si="2"/>
        <v>256692.27810564003</v>
      </c>
    </row>
    <row r="108" spans="1:8" ht="12.75">
      <c r="A108" s="226"/>
      <c r="B108" s="15" t="str">
        <f>B38</f>
        <v>Водопотребление</v>
      </c>
      <c r="C108" s="15">
        <v>1.105</v>
      </c>
      <c r="D108" s="27">
        <f t="shared" si="3"/>
        <v>93666.95606006733</v>
      </c>
      <c r="E108" s="27">
        <f t="shared" si="4"/>
        <v>98471.38822040627</v>
      </c>
      <c r="F108" s="44">
        <f t="shared" si="5"/>
        <v>54973.809764906066</v>
      </c>
      <c r="G108" s="44">
        <f t="shared" si="6"/>
        <v>4803.712820920402</v>
      </c>
      <c r="H108" s="44">
        <f t="shared" si="2"/>
        <v>251915.86686630006</v>
      </c>
    </row>
    <row r="109" spans="1:8" ht="12.75">
      <c r="A109" s="226"/>
      <c r="B109" s="15" t="str">
        <f>B39</f>
        <v>Хоз.стоки</v>
      </c>
      <c r="C109" s="15">
        <v>1.105</v>
      </c>
      <c r="D109" s="27">
        <f t="shared" si="3"/>
        <v>0</v>
      </c>
      <c r="E109" s="27">
        <f t="shared" si="4"/>
        <v>0</v>
      </c>
      <c r="F109" s="44">
        <f t="shared" si="5"/>
        <v>0</v>
      </c>
      <c r="G109" s="44">
        <f t="shared" si="6"/>
        <v>0</v>
      </c>
      <c r="H109" s="44">
        <f t="shared" si="2"/>
        <v>0</v>
      </c>
    </row>
    <row r="110" spans="1:8" ht="12.75">
      <c r="A110" s="4">
        <v>224</v>
      </c>
      <c r="B110" s="5" t="str">
        <f>B40</f>
        <v>Арендная плата</v>
      </c>
      <c r="C110" s="5"/>
      <c r="D110" s="4">
        <f t="shared" si="3"/>
        <v>0</v>
      </c>
      <c r="E110" s="4">
        <f t="shared" si="4"/>
        <v>0</v>
      </c>
      <c r="F110" s="44">
        <f t="shared" si="5"/>
        <v>0</v>
      </c>
      <c r="G110" s="44">
        <f t="shared" si="6"/>
        <v>0</v>
      </c>
      <c r="H110" s="44">
        <f t="shared" si="2"/>
        <v>0</v>
      </c>
    </row>
    <row r="111" spans="1:8" ht="12.75">
      <c r="A111" s="4">
        <v>225</v>
      </c>
      <c r="B111" s="5" t="s">
        <v>228</v>
      </c>
      <c r="C111" s="50">
        <v>1.069</v>
      </c>
      <c r="D111" s="44">
        <f t="shared" si="3"/>
        <v>49728.35409972134</v>
      </c>
      <c r="E111" s="44">
        <f t="shared" si="4"/>
        <v>52279.05622314907</v>
      </c>
      <c r="F111" s="44">
        <f t="shared" si="5"/>
        <v>29185.928455354602</v>
      </c>
      <c r="G111" s="44">
        <f t="shared" si="6"/>
        <v>2550.320221775011</v>
      </c>
      <c r="H111" s="44">
        <f t="shared" si="2"/>
        <v>133743.659</v>
      </c>
    </row>
    <row r="112" spans="1:8" ht="12.75">
      <c r="A112" s="226">
        <v>226</v>
      </c>
      <c r="B112" s="5" t="s">
        <v>229</v>
      </c>
      <c r="C112" s="5"/>
      <c r="D112" s="44">
        <f>SUM(D113:D120)</f>
        <v>34710.59864296877</v>
      </c>
      <c r="E112" s="44">
        <f>SUM(E113:E120)</f>
        <v>36490.999367403034</v>
      </c>
      <c r="F112" s="44">
        <f>SUM(F113:F120)</f>
        <v>20371.89983414093</v>
      </c>
      <c r="G112" s="44">
        <f>SUM(G113:G120)</f>
        <v>1780.134155487272</v>
      </c>
      <c r="H112" s="44">
        <f t="shared" si="2"/>
        <v>93353.63200000001</v>
      </c>
    </row>
    <row r="113" spans="1:8" ht="12.75" hidden="1">
      <c r="A113" s="226"/>
      <c r="B113" s="50" t="str">
        <f>B43</f>
        <v>Мед. Осмотр</v>
      </c>
      <c r="C113" s="50">
        <v>1.054</v>
      </c>
      <c r="D113" s="62">
        <f aca="true" t="shared" si="7" ref="D113:E121">C113*D43</f>
        <v>0</v>
      </c>
      <c r="E113" s="62">
        <f t="shared" si="7"/>
        <v>0</v>
      </c>
      <c r="F113" s="62"/>
      <c r="G113" s="62"/>
      <c r="H113" s="51">
        <f t="shared" si="2"/>
        <v>0</v>
      </c>
    </row>
    <row r="114" spans="1:8" ht="12.75" hidden="1">
      <c r="A114" s="226"/>
      <c r="B114" s="50" t="str">
        <f aca="true" t="shared" si="8" ref="B114:B120">B44</f>
        <v>Подписка</v>
      </c>
      <c r="C114" s="50">
        <v>1.054</v>
      </c>
      <c r="D114" s="62">
        <f t="shared" si="7"/>
        <v>0</v>
      </c>
      <c r="E114" s="62">
        <f t="shared" si="7"/>
        <v>0</v>
      </c>
      <c r="F114" s="62"/>
      <c r="G114" s="62"/>
      <c r="H114" s="51">
        <f t="shared" si="2"/>
        <v>0</v>
      </c>
    </row>
    <row r="115" spans="1:8" ht="12.75" hidden="1">
      <c r="A115" s="226"/>
      <c r="B115" s="50" t="str">
        <f t="shared" si="8"/>
        <v>Сан минимум</v>
      </c>
      <c r="C115" s="50">
        <v>1.054</v>
      </c>
      <c r="D115" s="62">
        <f t="shared" si="7"/>
        <v>0</v>
      </c>
      <c r="E115" s="62">
        <f t="shared" si="7"/>
        <v>0</v>
      </c>
      <c r="F115" s="62"/>
      <c r="G115" s="62"/>
      <c r="H115" s="51">
        <f t="shared" si="2"/>
        <v>0</v>
      </c>
    </row>
    <row r="116" spans="1:8" ht="12.75">
      <c r="A116" s="226"/>
      <c r="B116" s="50" t="str">
        <f t="shared" si="8"/>
        <v>Договора ГПХ</v>
      </c>
      <c r="C116" s="50">
        <v>1.069</v>
      </c>
      <c r="D116" s="62">
        <f t="shared" si="7"/>
        <v>15549.178028959075</v>
      </c>
      <c r="E116" s="62">
        <f aca="true" t="shared" si="9" ref="E116:E121">C116*E46</f>
        <v>16346.737532667721</v>
      </c>
      <c r="F116" s="44">
        <f aca="true" t="shared" si="10" ref="F116:F121">C116*F46</f>
        <v>9125.924348566248</v>
      </c>
      <c r="G116" s="44">
        <f aca="true" t="shared" si="11" ref="G116:G121">C116*G46</f>
        <v>797.4400898069587</v>
      </c>
      <c r="H116" s="44">
        <f t="shared" si="2"/>
        <v>41819.28</v>
      </c>
    </row>
    <row r="117" spans="1:8" ht="25.5">
      <c r="A117" s="226"/>
      <c r="B117" s="50" t="str">
        <f t="shared" si="8"/>
        <v>Смывы и обследования Центра гигиены</v>
      </c>
      <c r="C117" s="50">
        <v>1.069</v>
      </c>
      <c r="D117" s="62">
        <f t="shared" si="7"/>
        <v>8354.900873433533</v>
      </c>
      <c r="E117" s="62">
        <f t="shared" si="9"/>
        <v>8783.446394086797</v>
      </c>
      <c r="F117" s="44">
        <f t="shared" si="10"/>
        <v>4903.551375431047</v>
      </c>
      <c r="G117" s="44">
        <f t="shared" si="11"/>
        <v>428.4813570486266</v>
      </c>
      <c r="H117" s="44">
        <f t="shared" si="2"/>
        <v>22470.38</v>
      </c>
    </row>
    <row r="118" spans="1:8" ht="12.75">
      <c r="A118" s="226"/>
      <c r="B118" s="50" t="str">
        <f t="shared" si="8"/>
        <v>ФГУП "Охрана"</v>
      </c>
      <c r="C118" s="50">
        <v>1.069</v>
      </c>
      <c r="D118" s="62">
        <f t="shared" si="7"/>
        <v>6128.252220104577</v>
      </c>
      <c r="E118" s="62">
        <f t="shared" si="9"/>
        <v>6442.586893626557</v>
      </c>
      <c r="F118" s="44">
        <f t="shared" si="10"/>
        <v>3596.7152762319633</v>
      </c>
      <c r="G118" s="44">
        <f t="shared" si="11"/>
        <v>314.2876100369041</v>
      </c>
      <c r="H118" s="44">
        <f t="shared" si="2"/>
        <v>16481.842</v>
      </c>
    </row>
    <row r="119" spans="1:8" ht="12.75">
      <c r="A119" s="226"/>
      <c r="B119" s="50" t="str">
        <f t="shared" si="8"/>
        <v>Утилизация</v>
      </c>
      <c r="C119" s="50">
        <v>1.069</v>
      </c>
      <c r="D119" s="62">
        <f t="shared" si="7"/>
        <v>703.5287605127189</v>
      </c>
      <c r="E119" s="62">
        <f t="shared" si="9"/>
        <v>739.6146583032174</v>
      </c>
      <c r="F119" s="44">
        <f t="shared" si="10"/>
        <v>412.9060863231661</v>
      </c>
      <c r="G119" s="44">
        <f t="shared" si="11"/>
        <v>36.080494860897666</v>
      </c>
      <c r="H119" s="44">
        <f t="shared" si="2"/>
        <v>1892.1300000000003</v>
      </c>
    </row>
    <row r="120" spans="1:8" ht="25.5">
      <c r="A120" s="226"/>
      <c r="B120" s="50" t="str">
        <f t="shared" si="8"/>
        <v>Найм жилья при служебных командировках</v>
      </c>
      <c r="C120" s="50">
        <v>1.069</v>
      </c>
      <c r="D120" s="62">
        <f t="shared" si="7"/>
        <v>3974.7387599588637</v>
      </c>
      <c r="E120" s="62">
        <f t="shared" si="9"/>
        <v>4178.613888718743</v>
      </c>
      <c r="F120" s="44">
        <f t="shared" si="10"/>
        <v>2332.8027475885087</v>
      </c>
      <c r="G120" s="44">
        <f t="shared" si="11"/>
        <v>203.84460373388515</v>
      </c>
      <c r="H120" s="44">
        <f t="shared" si="2"/>
        <v>10690</v>
      </c>
    </row>
    <row r="121" spans="1:8" ht="12.75">
      <c r="A121" s="4">
        <v>290</v>
      </c>
      <c r="B121" s="5" t="str">
        <f>B51</f>
        <v>Налоги, транспортный налог</v>
      </c>
      <c r="C121" s="5">
        <v>1.069</v>
      </c>
      <c r="D121" s="44">
        <f t="shared" si="7"/>
        <v>1987.3693799794319</v>
      </c>
      <c r="E121" s="44">
        <f t="shared" si="9"/>
        <v>2089.3069443593713</v>
      </c>
      <c r="F121" s="44">
        <f t="shared" si="10"/>
        <v>1166.4013737942544</v>
      </c>
      <c r="G121" s="44">
        <f t="shared" si="11"/>
        <v>101.92230186694258</v>
      </c>
      <c r="H121" s="44">
        <f t="shared" si="2"/>
        <v>5345</v>
      </c>
    </row>
    <row r="122" spans="1:8" ht="12.75">
      <c r="A122" s="226">
        <v>340</v>
      </c>
      <c r="B122" s="5" t="s">
        <v>231</v>
      </c>
      <c r="C122" s="5"/>
      <c r="D122" s="44">
        <f>SUM(D123:D131)</f>
        <v>41383.19338125095</v>
      </c>
      <c r="E122" s="44">
        <f>SUM(E123:E131)</f>
        <v>43505.84958298452</v>
      </c>
      <c r="F122" s="44">
        <f>SUM(F123:F131)</f>
        <v>24288.09364688107</v>
      </c>
      <c r="G122" s="44">
        <f>SUM(G123:G131)</f>
        <v>2122.3383888834855</v>
      </c>
      <c r="H122" s="44">
        <f t="shared" si="2"/>
        <v>111299.47500000002</v>
      </c>
    </row>
    <row r="123" spans="1:8" ht="12.75">
      <c r="A123" s="226"/>
      <c r="B123" s="15" t="str">
        <f>B53</f>
        <v>Медикаменты</v>
      </c>
      <c r="C123" s="15">
        <v>1.05</v>
      </c>
      <c r="D123" s="27">
        <f>C123*D53</f>
        <v>10150.642483337419</v>
      </c>
      <c r="E123" s="27">
        <f aca="true" t="shared" si="12" ref="E123:E131">C123*E53</f>
        <v>10671.296460432339</v>
      </c>
      <c r="F123" s="44">
        <f aca="true" t="shared" si="13" ref="F123:F130">C123*F53</f>
        <v>5957.485033598346</v>
      </c>
      <c r="G123" s="44">
        <f aca="true" t="shared" si="14" ref="G123:G130">C123*G53</f>
        <v>520.5760226319052</v>
      </c>
      <c r="H123" s="44">
        <f t="shared" si="2"/>
        <v>27300.000000000007</v>
      </c>
    </row>
    <row r="124" spans="1:8" ht="12.75">
      <c r="A124" s="226"/>
      <c r="B124" s="15" t="str">
        <f aca="true" t="shared" si="15" ref="B124:B131">B54</f>
        <v>Мягкий инвентарь</v>
      </c>
      <c r="C124" s="15">
        <v>1.05</v>
      </c>
      <c r="D124" s="27">
        <f aca="true" t="shared" si="16" ref="D124:D131">C124*D54</f>
        <v>0</v>
      </c>
      <c r="E124" s="27">
        <f t="shared" si="12"/>
        <v>0</v>
      </c>
      <c r="F124" s="44">
        <f t="shared" si="13"/>
        <v>0</v>
      </c>
      <c r="G124" s="44">
        <f t="shared" si="14"/>
        <v>0</v>
      </c>
      <c r="H124" s="44">
        <f t="shared" si="2"/>
        <v>0</v>
      </c>
    </row>
    <row r="125" spans="1:8" ht="12.75">
      <c r="A125" s="226"/>
      <c r="B125" s="15" t="str">
        <f t="shared" si="15"/>
        <v>Посуда</v>
      </c>
      <c r="C125" s="15">
        <v>1.05</v>
      </c>
      <c r="D125" s="27">
        <f t="shared" si="16"/>
        <v>0</v>
      </c>
      <c r="E125" s="27">
        <f t="shared" si="12"/>
        <v>0</v>
      </c>
      <c r="F125" s="44">
        <f t="shared" si="13"/>
        <v>0</v>
      </c>
      <c r="G125" s="44">
        <f t="shared" si="14"/>
        <v>0</v>
      </c>
      <c r="H125" s="44">
        <f t="shared" si="2"/>
        <v>0</v>
      </c>
    </row>
    <row r="126" spans="1:8" ht="12.75">
      <c r="A126" s="226"/>
      <c r="B126" s="15" t="str">
        <f t="shared" si="15"/>
        <v>Канцтовары</v>
      </c>
      <c r="C126" s="15">
        <v>1.05</v>
      </c>
      <c r="D126" s="27">
        <f t="shared" si="16"/>
        <v>3123.079405594526</v>
      </c>
      <c r="E126" s="27">
        <f t="shared" si="12"/>
        <v>3283.270616739557</v>
      </c>
      <c r="F126" s="44">
        <f t="shared" si="13"/>
        <v>1832.9577510103832</v>
      </c>
      <c r="G126" s="44">
        <f t="shared" si="14"/>
        <v>160.16722665553556</v>
      </c>
      <c r="H126" s="44">
        <f t="shared" si="2"/>
        <v>8399.475000000002</v>
      </c>
    </row>
    <row r="127" spans="1:8" ht="12.75">
      <c r="A127" s="226"/>
      <c r="B127" s="15" t="str">
        <f t="shared" si="15"/>
        <v>Продукты питания</v>
      </c>
      <c r="C127" s="15">
        <v>1.05</v>
      </c>
      <c r="D127" s="27">
        <f t="shared" si="16"/>
        <v>0</v>
      </c>
      <c r="E127" s="27">
        <f t="shared" si="12"/>
        <v>0</v>
      </c>
      <c r="F127" s="44">
        <f t="shared" si="13"/>
        <v>0</v>
      </c>
      <c r="G127" s="44">
        <f t="shared" si="14"/>
        <v>0</v>
      </c>
      <c r="H127" s="44">
        <f t="shared" si="2"/>
        <v>0</v>
      </c>
    </row>
    <row r="128" spans="1:8" ht="12.75">
      <c r="A128" s="226"/>
      <c r="B128" s="15" t="str">
        <f t="shared" si="15"/>
        <v>Моющее</v>
      </c>
      <c r="C128" s="15">
        <v>1.05</v>
      </c>
      <c r="D128" s="27">
        <f t="shared" si="16"/>
        <v>12493.09844103067</v>
      </c>
      <c r="E128" s="27">
        <f t="shared" si="12"/>
        <v>13133.903335916722</v>
      </c>
      <c r="F128" s="44">
        <f t="shared" si="13"/>
        <v>7332.289272121041</v>
      </c>
      <c r="G128" s="44">
        <f t="shared" si="14"/>
        <v>640.7089509315755</v>
      </c>
      <c r="H128" s="44">
        <f t="shared" si="2"/>
        <v>33600.00000000001</v>
      </c>
    </row>
    <row r="129" spans="1:8" ht="25.5">
      <c r="A129" s="226"/>
      <c r="B129" s="15" t="str">
        <f t="shared" si="15"/>
        <v>Прочие хоз. Товары (тряпки,  метла и т.д.)</v>
      </c>
      <c r="C129" s="15">
        <v>1.05</v>
      </c>
      <c r="D129" s="27">
        <f t="shared" si="16"/>
        <v>12493.09844103067</v>
      </c>
      <c r="E129" s="27">
        <f t="shared" si="12"/>
        <v>13133.903335916722</v>
      </c>
      <c r="F129" s="44">
        <f t="shared" si="13"/>
        <v>7332.289272121041</v>
      </c>
      <c r="G129" s="44">
        <f t="shared" si="14"/>
        <v>640.7089509315755</v>
      </c>
      <c r="H129" s="44">
        <f t="shared" si="2"/>
        <v>33600.00000000001</v>
      </c>
    </row>
    <row r="130" spans="1:8" ht="12.75">
      <c r="A130" s="226"/>
      <c r="B130" s="15" t="str">
        <f t="shared" si="15"/>
        <v>Прочие материалы</v>
      </c>
      <c r="C130" s="15">
        <v>1.05</v>
      </c>
      <c r="D130" s="27">
        <f t="shared" si="16"/>
        <v>3123.2746102576675</v>
      </c>
      <c r="E130" s="27">
        <f t="shared" si="12"/>
        <v>3283.4758339791806</v>
      </c>
      <c r="F130" s="44">
        <f t="shared" si="13"/>
        <v>1833.0723180302602</v>
      </c>
      <c r="G130" s="44">
        <f t="shared" si="14"/>
        <v>160.17723773289387</v>
      </c>
      <c r="H130" s="44">
        <f>SUM(D130:G130)</f>
        <v>8400.000000000002</v>
      </c>
    </row>
    <row r="131" spans="1:8" ht="12.75">
      <c r="A131" s="226"/>
      <c r="B131" s="15">
        <f t="shared" si="15"/>
        <v>0</v>
      </c>
      <c r="C131" s="15">
        <v>1.088</v>
      </c>
      <c r="D131" s="27">
        <f t="shared" si="16"/>
        <v>0</v>
      </c>
      <c r="E131" s="27">
        <f t="shared" si="12"/>
        <v>0</v>
      </c>
      <c r="F131" s="27"/>
      <c r="G131" s="27"/>
      <c r="H131" s="44">
        <f t="shared" si="2"/>
        <v>0</v>
      </c>
    </row>
    <row r="132" spans="1:8" ht="25.5">
      <c r="A132" s="56"/>
      <c r="B132" s="57" t="s">
        <v>237</v>
      </c>
      <c r="C132" s="57"/>
      <c r="D132" s="58">
        <f>D133</f>
        <v>219322.2160910065</v>
      </c>
      <c r="E132" s="58">
        <f>E133</f>
        <v>230571.84726070848</v>
      </c>
      <c r="F132" s="58">
        <f>F133</f>
        <v>128721.78505376684</v>
      </c>
      <c r="G132" s="58">
        <f>G133</f>
        <v>11247.946828478216</v>
      </c>
      <c r="H132" s="221">
        <f t="shared" si="2"/>
        <v>589863.79523396</v>
      </c>
    </row>
    <row r="133" spans="1:8" ht="12.75">
      <c r="A133" s="226">
        <v>223</v>
      </c>
      <c r="B133" s="5" t="s">
        <v>238</v>
      </c>
      <c r="C133" s="5"/>
      <c r="D133" s="44">
        <f>SUM(D134:D135)</f>
        <v>219322.2160910065</v>
      </c>
      <c r="E133" s="44">
        <f>SUM(E134:E135)</f>
        <v>230571.84726070848</v>
      </c>
      <c r="F133" s="44">
        <f>SUM(F134:F135)</f>
        <v>128721.78505376684</v>
      </c>
      <c r="G133" s="44">
        <f>SUM(G134:G135)</f>
        <v>11247.946828478216</v>
      </c>
      <c r="H133" s="44">
        <f t="shared" si="2"/>
        <v>589863.79523396</v>
      </c>
    </row>
    <row r="134" spans="1:8" ht="12.75">
      <c r="A134" s="226"/>
      <c r="B134" s="15" t="str">
        <f>B64</f>
        <v>Тепловая энергия</v>
      </c>
      <c r="C134" s="15">
        <v>1.105</v>
      </c>
      <c r="D134" s="27">
        <f>C134*D64</f>
        <v>208717.44790507335</v>
      </c>
      <c r="E134" s="27">
        <f>C134*E64</f>
        <v>219423.13175900304</v>
      </c>
      <c r="F134" s="44">
        <f>C134*F64</f>
        <v>122497.77038117989</v>
      </c>
      <c r="G134" s="44">
        <f>C134*G64</f>
        <v>10704.080954743757</v>
      </c>
      <c r="H134" s="44">
        <f t="shared" si="2"/>
        <v>561342.4310000001</v>
      </c>
    </row>
    <row r="135" spans="1:8" ht="12.75">
      <c r="A135" s="226"/>
      <c r="B135" s="15" t="str">
        <f>B65</f>
        <v>Электрическая энергия</v>
      </c>
      <c r="C135" s="15">
        <v>1.105</v>
      </c>
      <c r="D135" s="27">
        <f>C135*D65</f>
        <v>10604.76818593314</v>
      </c>
      <c r="E135" s="27">
        <f>C135*E65</f>
        <v>11148.715501705448</v>
      </c>
      <c r="F135" s="44">
        <f>C135*F65</f>
        <v>6224.014672586953</v>
      </c>
      <c r="G135" s="44">
        <f>C135*G65</f>
        <v>543.8658737344603</v>
      </c>
      <c r="H135" s="44">
        <f t="shared" si="2"/>
        <v>28521.36423396</v>
      </c>
    </row>
    <row r="136" spans="1:8" ht="27.75" customHeight="1">
      <c r="A136" s="4"/>
      <c r="B136" s="15" t="str">
        <f>B66</f>
        <v>Доходы учреждения от оказания услуг (родительская плата)</v>
      </c>
      <c r="C136" s="15">
        <f>C66</f>
        <v>0</v>
      </c>
      <c r="D136" s="223">
        <f>D66</f>
        <v>0</v>
      </c>
      <c r="E136" s="223">
        <f>E66</f>
        <v>0</v>
      </c>
      <c r="F136" s="223">
        <f>Утверждаю!G40</f>
        <v>1913686.296</v>
      </c>
      <c r="G136" s="223">
        <f>Утверждаю!G41</f>
        <v>36000</v>
      </c>
      <c r="H136" s="44">
        <f t="shared" si="2"/>
        <v>1949686.296</v>
      </c>
    </row>
    <row r="137" spans="1:10" ht="25.5">
      <c r="A137" s="4"/>
      <c r="B137" s="5" t="s">
        <v>239</v>
      </c>
      <c r="C137" s="5"/>
      <c r="D137" s="44">
        <f>D77+D92+D132-D136</f>
        <v>7508965.838921842</v>
      </c>
      <c r="E137" s="44">
        <f>E77+E92+E132-E136</f>
        <v>7894121.057847368</v>
      </c>
      <c r="F137" s="44">
        <f>F77+F92+F132-F136</f>
        <v>4948267.820319334</v>
      </c>
      <c r="G137" s="44">
        <f>G77+G92+G132-G136</f>
        <v>349097.5518960005</v>
      </c>
      <c r="H137" s="44">
        <f t="shared" si="2"/>
        <v>20700452.268984545</v>
      </c>
      <c r="J137" s="43">
        <f>H78+H79+H80+H81+H84++H88+H89+H94+H95+H96+H98+H99+H100+H104+H106+H107+H108+H109+H110+H111+H116+H117+H118+H119+H120+H121+H123+H124+H125+H126+H127+H128+H129+H130+H134+H135</f>
        <v>22650138.564984545</v>
      </c>
    </row>
    <row r="138" spans="1:8" ht="12.75">
      <c r="A138" s="4"/>
      <c r="B138" s="5" t="str">
        <f>B68</f>
        <v>Объем муниципальных услуг</v>
      </c>
      <c r="C138" s="5"/>
      <c r="D138" s="44">
        <f>D68</f>
        <v>18499.827999999998</v>
      </c>
      <c r="E138" s="44">
        <f>E68</f>
        <v>14900.009999999998</v>
      </c>
      <c r="F138" s="44">
        <f>F68</f>
        <v>33399.837999999996</v>
      </c>
      <c r="G138" s="44">
        <f>G68</f>
        <v>800</v>
      </c>
      <c r="H138" s="44"/>
    </row>
    <row r="139" spans="1:8" ht="15" customHeight="1">
      <c r="A139" s="4"/>
      <c r="B139" s="5" t="str">
        <f>B69</f>
        <v>Себестоимость единицы услуги</v>
      </c>
      <c r="C139" s="5"/>
      <c r="D139" s="44">
        <f>D137/D138</f>
        <v>405.8938190626336</v>
      </c>
      <c r="E139" s="44">
        <f>E137/E138</f>
        <v>529.8064268310806</v>
      </c>
      <c r="F139" s="44">
        <f>F137/F138</f>
        <v>148.1524497310237</v>
      </c>
      <c r="G139" s="44">
        <f>G137/G138</f>
        <v>436.37193987000063</v>
      </c>
      <c r="H139" s="44"/>
    </row>
    <row r="140" spans="1:8" ht="15" customHeight="1">
      <c r="A140" s="4"/>
      <c r="B140" s="5" t="str">
        <f>B70</f>
        <v>Кол-во детей</v>
      </c>
      <c r="C140" s="5"/>
      <c r="D140" s="44">
        <f>D70</f>
        <v>123</v>
      </c>
      <c r="E140" s="44">
        <f>E70</f>
        <v>104</v>
      </c>
      <c r="F140" s="44">
        <f>F70</f>
        <v>227</v>
      </c>
      <c r="G140" s="44"/>
      <c r="H140" s="44"/>
    </row>
    <row r="141" spans="1:8" ht="12.75">
      <c r="A141" s="4"/>
      <c r="B141" s="5" t="str">
        <f>B71</f>
        <v>Затраты на 1-го ребенка в мес.</v>
      </c>
      <c r="C141" s="5"/>
      <c r="D141" s="44">
        <f>D137/D140/12</f>
        <v>5087.3752296218445</v>
      </c>
      <c r="E141" s="44">
        <f>E137/E140/12</f>
        <v>6325.417514300775</v>
      </c>
      <c r="F141" s="44">
        <f>F137/F140/12</f>
        <v>1816.5447211157614</v>
      </c>
      <c r="G141" s="44"/>
      <c r="H141" s="44"/>
    </row>
    <row r="142" spans="1:8" ht="32.25" customHeight="1">
      <c r="A142" s="225" t="s">
        <v>486</v>
      </c>
      <c r="B142" s="225"/>
      <c r="C142" s="225"/>
      <c r="D142" s="225"/>
      <c r="E142" s="225"/>
      <c r="F142" s="225"/>
      <c r="G142" s="225"/>
      <c r="H142" s="225"/>
    </row>
    <row r="143" spans="1:8" ht="12.75">
      <c r="A143" s="237" t="s">
        <v>240</v>
      </c>
      <c r="B143" s="237"/>
      <c r="C143" s="237"/>
      <c r="D143" s="237"/>
      <c r="E143" s="237"/>
      <c r="F143" s="237"/>
      <c r="G143" s="237"/>
      <c r="H143" s="237"/>
    </row>
    <row r="144" spans="1:8" ht="12.75">
      <c r="A144" s="226" t="s">
        <v>198</v>
      </c>
      <c r="B144" s="227" t="s">
        <v>199</v>
      </c>
      <c r="C144" s="228" t="s">
        <v>223</v>
      </c>
      <c r="D144" s="230" t="s">
        <v>200</v>
      </c>
      <c r="E144" s="231"/>
      <c r="F144" s="231"/>
      <c r="G144" s="232"/>
      <c r="H144" s="227" t="s">
        <v>201</v>
      </c>
    </row>
    <row r="145" spans="1:8" ht="103.5" customHeight="1">
      <c r="A145" s="226"/>
      <c r="B145" s="227"/>
      <c r="C145" s="229"/>
      <c r="D145" s="42" t="str">
        <f>D76</f>
        <v>Реализация общеобразовательной программы дошкольного образования в группах общеразвивающей направленности</v>
      </c>
      <c r="E145" s="42" t="str">
        <f>E76</f>
        <v>Реализация общеобразовательной программы дошкольного образования в компенсирующих группах</v>
      </c>
      <c r="F145" s="42" t="str">
        <f>F76</f>
        <v>Присмотр и уход за детьми, осваивающими образовательные программы в образовательных организациях в группах полного дня</v>
      </c>
      <c r="G145" s="42" t="str">
        <f>G76</f>
        <v>Присмотр и уход за детьми, осваивающими образовательные программы в образовательных организациях в группах кратковременного пребывания</v>
      </c>
      <c r="H145" s="227"/>
    </row>
    <row r="146" spans="1:8" ht="25.5">
      <c r="A146" s="52"/>
      <c r="B146" s="53" t="s">
        <v>224</v>
      </c>
      <c r="C146" s="53"/>
      <c r="D146" s="54">
        <f>D147+D148+D149+D150+D153+D157+D158</f>
        <v>6234306.007837235</v>
      </c>
      <c r="E146" s="54">
        <f>E147+E148+E149+E150+E153+E157+E158</f>
        <v>6554080.467703738</v>
      </c>
      <c r="F146" s="54">
        <f>F147+F148+F149+F150+F153+F157+F158</f>
        <v>6236591.504188776</v>
      </c>
      <c r="G146" s="54">
        <f>G147+G148+G149+G150+G153+G157+G158</f>
        <v>319726.5819141565</v>
      </c>
      <c r="H146" s="54">
        <f>H147+H148+H149+H150+H153+H157+H158</f>
        <v>19344704.561643906</v>
      </c>
    </row>
    <row r="147" spans="1:8" ht="25.5">
      <c r="A147" s="41">
        <v>211</v>
      </c>
      <c r="B147" s="5" t="str">
        <f>B78</f>
        <v>Заработная плата основных рабочих</v>
      </c>
      <c r="C147" s="5">
        <v>1.05</v>
      </c>
      <c r="D147" s="44">
        <f>C147*D78</f>
        <v>4772391.053733053</v>
      </c>
      <c r="E147" s="44">
        <f>C147*E78</f>
        <v>5017179.931526467</v>
      </c>
      <c r="F147" s="44">
        <f>C147*F78</f>
        <v>2800950.6121178404</v>
      </c>
      <c r="G147" s="44">
        <f>C147*G78</f>
        <v>244752.22699200004</v>
      </c>
      <c r="H147" s="44">
        <f>D147+E147+F147+G147</f>
        <v>12835273.82436936</v>
      </c>
    </row>
    <row r="148" spans="1:8" ht="25.5">
      <c r="A148" s="41">
        <v>212</v>
      </c>
      <c r="B148" s="5" t="s">
        <v>226</v>
      </c>
      <c r="C148" s="5">
        <v>1.05</v>
      </c>
      <c r="D148" s="44">
        <f>C148*D79</f>
        <v>0</v>
      </c>
      <c r="E148" s="44">
        <f aca="true" t="shared" si="17" ref="E148:E160">C148*E79</f>
        <v>0</v>
      </c>
      <c r="F148" s="44">
        <f>C148*F79</f>
        <v>0</v>
      </c>
      <c r="G148" s="44">
        <f>C148*G79</f>
        <v>0</v>
      </c>
      <c r="H148" s="44">
        <f aca="true" t="shared" si="18" ref="H148:H206">D148+E148+F148+G148</f>
        <v>0</v>
      </c>
    </row>
    <row r="149" spans="1:8" ht="25.5">
      <c r="A149" s="41">
        <v>213</v>
      </c>
      <c r="B149" s="5" t="s">
        <v>227</v>
      </c>
      <c r="C149" s="5">
        <v>1.05</v>
      </c>
      <c r="D149" s="44">
        <f>C149*D80</f>
        <v>1441262.098227382</v>
      </c>
      <c r="E149" s="44">
        <f t="shared" si="17"/>
        <v>1515188.339320993</v>
      </c>
      <c r="F149" s="44">
        <f>C149*F80</f>
        <v>845887.0848595878</v>
      </c>
      <c r="G149" s="44">
        <f>C149*G80</f>
        <v>73915.17255158401</v>
      </c>
      <c r="H149" s="44">
        <f t="shared" si="18"/>
        <v>3876252.6949595464</v>
      </c>
    </row>
    <row r="150" spans="1:8" ht="12.75">
      <c r="A150" s="233">
        <v>225</v>
      </c>
      <c r="B150" s="5" t="s">
        <v>228</v>
      </c>
      <c r="C150" s="5"/>
      <c r="D150" s="4">
        <f>D151+D152</f>
        <v>0</v>
      </c>
      <c r="E150" s="44">
        <f t="shared" si="17"/>
        <v>0</v>
      </c>
      <c r="F150" s="44">
        <f>D150*F81</f>
        <v>0</v>
      </c>
      <c r="G150" s="44">
        <f>E150*G81</f>
        <v>0</v>
      </c>
      <c r="H150" s="44">
        <f t="shared" si="18"/>
        <v>0</v>
      </c>
    </row>
    <row r="151" spans="1:8" ht="12.75">
      <c r="A151" s="233"/>
      <c r="B151" s="15"/>
      <c r="C151" s="15"/>
      <c r="D151" s="32">
        <f>C151*D82</f>
        <v>0</v>
      </c>
      <c r="E151" s="44">
        <f t="shared" si="17"/>
        <v>0</v>
      </c>
      <c r="F151" s="44">
        <f>C151*F82</f>
        <v>0</v>
      </c>
      <c r="G151" s="44">
        <f>C151*G82</f>
        <v>0</v>
      </c>
      <c r="H151" s="51">
        <f t="shared" si="18"/>
        <v>0</v>
      </c>
    </row>
    <row r="152" spans="1:8" ht="12.75">
      <c r="A152" s="233"/>
      <c r="B152" s="15"/>
      <c r="C152" s="15"/>
      <c r="D152" s="32">
        <f>C152*D83</f>
        <v>0</v>
      </c>
      <c r="E152" s="44">
        <f t="shared" si="17"/>
        <v>0</v>
      </c>
      <c r="F152" s="44">
        <f>C152*F83</f>
        <v>0</v>
      </c>
      <c r="G152" s="44">
        <f>C152*G83</f>
        <v>0</v>
      </c>
      <c r="H152" s="51">
        <f t="shared" si="18"/>
        <v>0</v>
      </c>
    </row>
    <row r="153" spans="1:8" ht="12.75">
      <c r="A153" s="226">
        <v>226</v>
      </c>
      <c r="B153" s="5" t="s">
        <v>229</v>
      </c>
      <c r="C153" s="5"/>
      <c r="D153" s="44">
        <f>D154+D156</f>
        <v>20652.855876800917</v>
      </c>
      <c r="E153" s="44">
        <f>E154+E155+E156</f>
        <v>21712.196856278413</v>
      </c>
      <c r="F153" s="44">
        <f>F154+F155+F156</f>
        <v>12121.309561348198</v>
      </c>
      <c r="G153" s="44">
        <f>G154+G155+G156</f>
        <v>1059.1823705724735</v>
      </c>
      <c r="H153" s="44">
        <f t="shared" si="18"/>
        <v>55545.544665</v>
      </c>
    </row>
    <row r="154" spans="1:8" ht="12.75">
      <c r="A154" s="226"/>
      <c r="B154" s="15" t="str">
        <f>B85</f>
        <v>Мед. Осмотр</v>
      </c>
      <c r="C154" s="15">
        <v>1.065</v>
      </c>
      <c r="D154" s="27">
        <f>C154*D85</f>
        <v>20652.855876800917</v>
      </c>
      <c r="E154" s="44">
        <f t="shared" si="17"/>
        <v>21712.196856278413</v>
      </c>
      <c r="F154" s="44">
        <f>C154*F85</f>
        <v>12121.309561348198</v>
      </c>
      <c r="G154" s="44">
        <f>C154*G85</f>
        <v>1059.1823705724735</v>
      </c>
      <c r="H154" s="51">
        <f t="shared" si="18"/>
        <v>55545.544665</v>
      </c>
    </row>
    <row r="155" spans="1:8" ht="12.75">
      <c r="A155" s="226"/>
      <c r="B155" s="15" t="str">
        <f>B86</f>
        <v>Подписка</v>
      </c>
      <c r="C155" s="15">
        <v>1.065</v>
      </c>
      <c r="D155" s="27">
        <f>C155*D86</f>
        <v>0</v>
      </c>
      <c r="E155" s="44">
        <f t="shared" si="17"/>
        <v>0</v>
      </c>
      <c r="F155" s="44">
        <f>C155*F86</f>
        <v>0</v>
      </c>
      <c r="G155" s="44">
        <f>C155*G86</f>
        <v>0</v>
      </c>
      <c r="H155" s="51">
        <f t="shared" si="18"/>
        <v>0</v>
      </c>
    </row>
    <row r="156" spans="1:8" ht="12.75">
      <c r="A156" s="226"/>
      <c r="B156" s="15" t="str">
        <f>B87</f>
        <v>Сан минимум</v>
      </c>
      <c r="C156" s="15">
        <v>1.065</v>
      </c>
      <c r="D156" s="27">
        <f>C156*D87</f>
        <v>0</v>
      </c>
      <c r="E156" s="44">
        <f t="shared" si="17"/>
        <v>0</v>
      </c>
      <c r="F156" s="44">
        <f>C156*F87</f>
        <v>0</v>
      </c>
      <c r="G156" s="44">
        <f>C156*G87</f>
        <v>0</v>
      </c>
      <c r="H156" s="51">
        <f t="shared" si="18"/>
        <v>0</v>
      </c>
    </row>
    <row r="157" spans="1:8" ht="12.75">
      <c r="A157" s="4">
        <v>290</v>
      </c>
      <c r="B157" s="5" t="s">
        <v>230</v>
      </c>
      <c r="C157" s="5"/>
      <c r="D157" s="4">
        <f>C157*D88</f>
        <v>0</v>
      </c>
      <c r="E157" s="44">
        <f t="shared" si="17"/>
        <v>0</v>
      </c>
      <c r="F157" s="44">
        <f>C157*F88</f>
        <v>0</v>
      </c>
      <c r="G157" s="44">
        <f>C157*G88</f>
        <v>0</v>
      </c>
      <c r="H157" s="44">
        <f t="shared" si="18"/>
        <v>0</v>
      </c>
    </row>
    <row r="158" spans="1:8" ht="12.75">
      <c r="A158" s="233">
        <v>340</v>
      </c>
      <c r="B158" s="5" t="s">
        <v>231</v>
      </c>
      <c r="C158" s="5"/>
      <c r="D158" s="44">
        <f>D159+D160</f>
        <v>0</v>
      </c>
      <c r="E158" s="44">
        <f>E159</f>
        <v>0</v>
      </c>
      <c r="F158" s="44">
        <f>F159</f>
        <v>2577632.49765</v>
      </c>
      <c r="G158" s="44">
        <f>G159</f>
        <v>0</v>
      </c>
      <c r="H158" s="44">
        <f t="shared" si="18"/>
        <v>2577632.49765</v>
      </c>
    </row>
    <row r="159" spans="1:8" ht="12.75">
      <c r="A159" s="233"/>
      <c r="B159" s="50" t="str">
        <f>B90</f>
        <v>Продукты питания</v>
      </c>
      <c r="C159" s="50">
        <v>1.05</v>
      </c>
      <c r="D159" s="27">
        <f>C159*D90</f>
        <v>0</v>
      </c>
      <c r="E159" s="44">
        <f t="shared" si="17"/>
        <v>0</v>
      </c>
      <c r="F159" s="44">
        <f>C159*F90</f>
        <v>2577632.49765</v>
      </c>
      <c r="G159" s="44">
        <f>C159*G90</f>
        <v>0</v>
      </c>
      <c r="H159" s="51">
        <f t="shared" si="18"/>
        <v>2577632.49765</v>
      </c>
    </row>
    <row r="160" spans="1:8" ht="12.75">
      <c r="A160" s="233"/>
      <c r="B160" s="50" t="str">
        <f>B91</f>
        <v>Мягкий инвентарь</v>
      </c>
      <c r="C160" s="50">
        <v>1.05</v>
      </c>
      <c r="D160" s="32">
        <f>C160*D91</f>
        <v>0</v>
      </c>
      <c r="E160" s="44">
        <f t="shared" si="17"/>
        <v>0</v>
      </c>
      <c r="F160" s="44"/>
      <c r="G160" s="44">
        <f>C160*G91</f>
        <v>0</v>
      </c>
      <c r="H160" s="51">
        <f t="shared" si="18"/>
        <v>0</v>
      </c>
    </row>
    <row r="161" spans="1:8" ht="12.75">
      <c r="A161" s="56"/>
      <c r="B161" s="57" t="str">
        <f>B92</f>
        <v>Общехозяйственные расходы:</v>
      </c>
      <c r="C161" s="57"/>
      <c r="D161" s="58">
        <f>D162+D166+D169+D173+D174+D179+D180+D181+D190+D191+D165</f>
        <v>1434859.4779415806</v>
      </c>
      <c r="E161" s="58">
        <f>E162+E166+E169+E173+E174+E179+E180+E181+E190+E191+E165</f>
        <v>1508457.3112796138</v>
      </c>
      <c r="F161" s="58">
        <f>F162+F166+F169+F173+F174+F179+F180+F181+F190+F191+F165</f>
        <v>842129.3409935136</v>
      </c>
      <c r="G161" s="58">
        <f>G162+G166+G169+G173+G174+G179+G180+G181+G190+G191+G165</f>
        <v>73586.8139665707</v>
      </c>
      <c r="H161" s="58">
        <f t="shared" si="18"/>
        <v>3859032.944181279</v>
      </c>
    </row>
    <row r="162" spans="1:8" ht="12.75">
      <c r="A162" s="233">
        <v>211</v>
      </c>
      <c r="B162" s="5" t="s">
        <v>233</v>
      </c>
      <c r="C162" s="5"/>
      <c r="D162" s="44">
        <f>D163+D164</f>
        <v>646366.8715257924</v>
      </c>
      <c r="E162" s="44">
        <f>E163+E164</f>
        <v>679520.7810319872</v>
      </c>
      <c r="F162" s="44">
        <f>F163+F164</f>
        <v>379357.36281223246</v>
      </c>
      <c r="G162" s="44">
        <f>G163+G164</f>
        <v>33148.94556598477</v>
      </c>
      <c r="H162" s="44">
        <f t="shared" si="18"/>
        <v>1738393.9609359968</v>
      </c>
    </row>
    <row r="163" spans="1:8" ht="24" customHeight="1">
      <c r="A163" s="233"/>
      <c r="B163" s="60" t="str">
        <f>B94</f>
        <v>Заработная плата административно-управленческого персонала</v>
      </c>
      <c r="C163" s="64">
        <v>1.05</v>
      </c>
      <c r="D163" s="27">
        <f>C163*D94</f>
        <v>254818.28174351525</v>
      </c>
      <c r="E163" s="27">
        <f>C163*E94</f>
        <v>267888.60237041546</v>
      </c>
      <c r="F163" s="44">
        <f>C163*F94</f>
        <v>149554.6811215355</v>
      </c>
      <c r="G163" s="44">
        <f>C163*G94</f>
        <v>13068.36368453406</v>
      </c>
      <c r="H163" s="27">
        <f t="shared" si="18"/>
        <v>685329.9289200003</v>
      </c>
    </row>
    <row r="164" spans="1:8" ht="25.5">
      <c r="A164" s="233"/>
      <c r="B164" s="60" t="str">
        <f>B95</f>
        <v>Заработная плата обслуживающего персонала</v>
      </c>
      <c r="C164" s="65">
        <v>1.05</v>
      </c>
      <c r="D164" s="27">
        <f>C164*D95</f>
        <v>391548.5897822772</v>
      </c>
      <c r="E164" s="27">
        <f>C164*E95</f>
        <v>411632.1786615717</v>
      </c>
      <c r="F164" s="44">
        <f>C164*F95</f>
        <v>229802.68169069695</v>
      </c>
      <c r="G164" s="44">
        <f>C164*G95</f>
        <v>20080.581881450715</v>
      </c>
      <c r="H164" s="27">
        <f t="shared" si="18"/>
        <v>1053064.0320159965</v>
      </c>
    </row>
    <row r="165" spans="1:8" ht="12.75">
      <c r="A165" s="4">
        <v>212</v>
      </c>
      <c r="B165" s="5" t="str">
        <f>B96</f>
        <v>Суточные на коммандировки</v>
      </c>
      <c r="C165" s="5">
        <v>1.05</v>
      </c>
      <c r="D165" s="61">
        <f>C165*D96</f>
        <v>3935.326008924661</v>
      </c>
      <c r="E165" s="61">
        <f>C165*E96</f>
        <v>4137.179550813768</v>
      </c>
      <c r="F165" s="44">
        <f>C165*F96</f>
        <v>2309.6711207181274</v>
      </c>
      <c r="G165" s="44">
        <f>C165*G96</f>
        <v>201.8233195434463</v>
      </c>
      <c r="H165" s="44">
        <f t="shared" si="18"/>
        <v>10584.000000000002</v>
      </c>
    </row>
    <row r="166" spans="1:8" ht="25.5">
      <c r="A166" s="233">
        <v>213</v>
      </c>
      <c r="B166" s="5" t="s">
        <v>234</v>
      </c>
      <c r="C166" s="5"/>
      <c r="D166" s="44">
        <f>D167+D168</f>
        <v>195202.79520078932</v>
      </c>
      <c r="E166" s="44">
        <f>E167+E168</f>
        <v>205215.2758716601</v>
      </c>
      <c r="F166" s="44">
        <f>F167+F168</f>
        <v>114565.92356929417</v>
      </c>
      <c r="G166" s="44">
        <f>G167+G168</f>
        <v>10010.981560927401</v>
      </c>
      <c r="H166" s="44">
        <f t="shared" si="18"/>
        <v>524994.976202671</v>
      </c>
    </row>
    <row r="167" spans="1:8" ht="25.5">
      <c r="A167" s="233"/>
      <c r="B167" s="15" t="str">
        <f>B98</f>
        <v>Начисления на з/п адм.-упр. персонала</v>
      </c>
      <c r="C167" s="15">
        <v>1.05</v>
      </c>
      <c r="D167" s="27">
        <f>C167*D98</f>
        <v>76955.1210865416</v>
      </c>
      <c r="E167" s="27">
        <f>C167*E98</f>
        <v>80902.35791586546</v>
      </c>
      <c r="F167" s="44">
        <f>C167*F98</f>
        <v>45165.51369870371</v>
      </c>
      <c r="G167" s="44">
        <f>C167*G98</f>
        <v>3946.645832729286</v>
      </c>
      <c r="H167" s="27">
        <f t="shared" si="18"/>
        <v>206969.63853384007</v>
      </c>
    </row>
    <row r="168" spans="1:8" ht="15.75" customHeight="1">
      <c r="A168" s="233"/>
      <c r="B168" s="15" t="str">
        <f>B99</f>
        <v>Начисления на з/п обсл. персонала</v>
      </c>
      <c r="C168" s="15">
        <v>1.05</v>
      </c>
      <c r="D168" s="27">
        <f>C168*D99</f>
        <v>118247.67411424771</v>
      </c>
      <c r="E168" s="27">
        <f>C168*E99</f>
        <v>124312.91795579463</v>
      </c>
      <c r="F168" s="44">
        <f>C168*F99</f>
        <v>69400.40987059046</v>
      </c>
      <c r="G168" s="44">
        <f>C168*G99</f>
        <v>6064.335728198115</v>
      </c>
      <c r="H168" s="27">
        <f t="shared" si="18"/>
        <v>318025.33766883094</v>
      </c>
    </row>
    <row r="169" spans="1:8" ht="12.75">
      <c r="A169" s="233">
        <v>221</v>
      </c>
      <c r="B169" s="5" t="s">
        <v>235</v>
      </c>
      <c r="C169" s="5"/>
      <c r="D169" s="44">
        <f>D170+D171+D172</f>
        <v>17931.397957352823</v>
      </c>
      <c r="E169" s="44">
        <f>E170+E171+E172</f>
        <v>18851.14798073241</v>
      </c>
      <c r="F169" s="44">
        <f>F170+F171+F172</f>
        <v>10524.066347305943</v>
      </c>
      <c r="G169" s="44">
        <f>G170+G171+G172</f>
        <v>919.6123146088255</v>
      </c>
      <c r="H169" s="44">
        <f t="shared" si="18"/>
        <v>48226.22460000001</v>
      </c>
    </row>
    <row r="170" spans="1:8" ht="12.75">
      <c r="A170" s="233"/>
      <c r="B170" s="15" t="str">
        <f>B101</f>
        <v>Оплата услуг тефонной связи</v>
      </c>
      <c r="C170" s="15">
        <v>1.065</v>
      </c>
      <c r="D170" s="27">
        <f>C170*D101</f>
        <v>17931.397957352823</v>
      </c>
      <c r="E170" s="27">
        <f>C170*E101</f>
        <v>18851.14798073241</v>
      </c>
      <c r="F170" s="44">
        <f>C170*F101</f>
        <v>10524.066347305943</v>
      </c>
      <c r="G170" s="44">
        <f>C170*G101</f>
        <v>919.6123146088255</v>
      </c>
      <c r="H170" s="27">
        <f t="shared" si="18"/>
        <v>48226.22460000001</v>
      </c>
    </row>
    <row r="171" spans="1:8" ht="12.75">
      <c r="A171" s="233"/>
      <c r="B171" s="15" t="str">
        <f>B102</f>
        <v>Оплата услуг сотовой связи</v>
      </c>
      <c r="C171" s="15">
        <v>1.065</v>
      </c>
      <c r="D171" s="27">
        <f>C171*D102</f>
        <v>0</v>
      </c>
      <c r="E171" s="27">
        <f>D171*E101</f>
        <v>0</v>
      </c>
      <c r="F171" s="44">
        <f>C171*F102</f>
        <v>0</v>
      </c>
      <c r="G171" s="44">
        <f>C171*G102</f>
        <v>0</v>
      </c>
      <c r="H171" s="27">
        <f t="shared" si="18"/>
        <v>0</v>
      </c>
    </row>
    <row r="172" spans="1:8" ht="12.75">
      <c r="A172" s="233"/>
      <c r="B172" s="15" t="str">
        <f>B103</f>
        <v>Оплата услуг почтовой связи</v>
      </c>
      <c r="C172" s="15">
        <v>1.065</v>
      </c>
      <c r="D172" s="27">
        <f>C172*D103</f>
        <v>0</v>
      </c>
      <c r="E172" s="27">
        <f>D172*E102</f>
        <v>0</v>
      </c>
      <c r="F172" s="44">
        <f>C172*F103</f>
        <v>0</v>
      </c>
      <c r="G172" s="44">
        <f>C172*G103</f>
        <v>0</v>
      </c>
      <c r="H172" s="27">
        <f t="shared" si="18"/>
        <v>0</v>
      </c>
    </row>
    <row r="173" spans="1:8" ht="12.75">
      <c r="A173" s="4">
        <v>222</v>
      </c>
      <c r="B173" s="5" t="str">
        <f>B104</f>
        <v>Транспортные услуги</v>
      </c>
      <c r="C173" s="5">
        <v>1.065</v>
      </c>
      <c r="D173" s="44">
        <f>C173*D104</f>
        <v>5079.716135227429</v>
      </c>
      <c r="E173" s="44">
        <f>C173*E104</f>
        <v>5340.268549782552</v>
      </c>
      <c r="F173" s="44">
        <f>C173*F104</f>
        <v>2981.3219114181147</v>
      </c>
      <c r="G173" s="44">
        <f>C173*G104</f>
        <v>260.5134035719052</v>
      </c>
      <c r="H173" s="44">
        <f t="shared" si="18"/>
        <v>13661.820000000003</v>
      </c>
    </row>
    <row r="174" spans="1:8" ht="12.75">
      <c r="A174" s="226">
        <v>223</v>
      </c>
      <c r="B174" s="5" t="s">
        <v>236</v>
      </c>
      <c r="C174" s="5"/>
      <c r="D174" s="44">
        <f>D175+D176+D177+D178</f>
        <v>430846.9850025376</v>
      </c>
      <c r="E174" s="44">
        <f>E175+E176+E177+E178</f>
        <v>452946.29513282323</v>
      </c>
      <c r="F174" s="44">
        <f>F175+F176+F177+F178</f>
        <v>252867.1923119161</v>
      </c>
      <c r="G174" s="44">
        <f>G175+G176+G177+G178</f>
        <v>22096.001330334067</v>
      </c>
      <c r="H174" s="44">
        <f t="shared" si="18"/>
        <v>1158756.4737776108</v>
      </c>
    </row>
    <row r="175" spans="1:8" ht="12.75">
      <c r="A175" s="226"/>
      <c r="B175" s="15" t="str">
        <f>B106</f>
        <v>Тепловая энергия</v>
      </c>
      <c r="C175" s="15">
        <v>1.083</v>
      </c>
      <c r="D175" s="27">
        <f aca="true" t="shared" si="19" ref="D175:D180">C175*D106</f>
        <v>226040.99608119443</v>
      </c>
      <c r="E175" s="27">
        <f>C175*E106</f>
        <v>237635.25169500028</v>
      </c>
      <c r="F175" s="44">
        <f aca="true" t="shared" si="20" ref="F175:F180">C175*F106</f>
        <v>132665.08532281782</v>
      </c>
      <c r="G175" s="44">
        <f aca="true" t="shared" si="21" ref="G175:G180">C175*G106</f>
        <v>11592.519673987488</v>
      </c>
      <c r="H175" s="27">
        <f t="shared" si="18"/>
        <v>607933.852773</v>
      </c>
    </row>
    <row r="176" spans="1:8" ht="12.75">
      <c r="A176" s="226"/>
      <c r="B176" s="15" t="str">
        <f>B107</f>
        <v>Электрическая энергия</v>
      </c>
      <c r="C176" s="15">
        <v>1.083</v>
      </c>
      <c r="D176" s="27">
        <f t="shared" si="19"/>
        <v>103364.67550829031</v>
      </c>
      <c r="E176" s="27">
        <f>C176*E107</f>
        <v>108666.52999512301</v>
      </c>
      <c r="F176" s="44">
        <f t="shared" si="20"/>
        <v>60665.47101370502</v>
      </c>
      <c r="G176" s="44">
        <f t="shared" si="21"/>
        <v>5301.060671289784</v>
      </c>
      <c r="H176" s="27">
        <f t="shared" si="18"/>
        <v>277997.73718840815</v>
      </c>
    </row>
    <row r="177" spans="1:8" ht="12.75">
      <c r="A177" s="226"/>
      <c r="B177" s="15" t="str">
        <f>B108</f>
        <v>Водопотребление</v>
      </c>
      <c r="C177" s="15">
        <v>1.083</v>
      </c>
      <c r="D177" s="27">
        <f t="shared" si="19"/>
        <v>101441.3134130529</v>
      </c>
      <c r="E177" s="27">
        <f>C177*E108</f>
        <v>106644.51344269999</v>
      </c>
      <c r="F177" s="44">
        <f t="shared" si="20"/>
        <v>59536.63597539327</v>
      </c>
      <c r="G177" s="44">
        <f t="shared" si="21"/>
        <v>5202.420985056795</v>
      </c>
      <c r="H177" s="27">
        <f t="shared" si="18"/>
        <v>272824.883816203</v>
      </c>
    </row>
    <row r="178" spans="1:8" ht="12.75">
      <c r="A178" s="226"/>
      <c r="B178" s="15" t="str">
        <f>B109</f>
        <v>Хоз.стоки</v>
      </c>
      <c r="C178" s="15">
        <v>1.083</v>
      </c>
      <c r="D178" s="27">
        <f t="shared" si="19"/>
        <v>0</v>
      </c>
      <c r="E178" s="27">
        <f>C178*E109</f>
        <v>0</v>
      </c>
      <c r="F178" s="44">
        <f t="shared" si="20"/>
        <v>0</v>
      </c>
      <c r="G178" s="44">
        <f t="shared" si="21"/>
        <v>0</v>
      </c>
      <c r="H178" s="27">
        <f t="shared" si="18"/>
        <v>0</v>
      </c>
    </row>
    <row r="179" spans="1:8" ht="12.75">
      <c r="A179" s="4">
        <v>224</v>
      </c>
      <c r="B179" s="5" t="str">
        <f>B110</f>
        <v>Арендная плата</v>
      </c>
      <c r="C179" s="5"/>
      <c r="D179" s="4">
        <f t="shared" si="19"/>
        <v>0</v>
      </c>
      <c r="E179" s="4">
        <f>C179*E109</f>
        <v>0</v>
      </c>
      <c r="F179" s="44">
        <f t="shared" si="20"/>
        <v>0</v>
      </c>
      <c r="G179" s="44">
        <f t="shared" si="21"/>
        <v>0</v>
      </c>
      <c r="H179" s="44">
        <f t="shared" si="18"/>
        <v>0</v>
      </c>
    </row>
    <row r="180" spans="1:8" ht="12.75">
      <c r="A180" s="4">
        <v>225</v>
      </c>
      <c r="B180" s="5" t="s">
        <v>228</v>
      </c>
      <c r="C180" s="5">
        <v>1.065</v>
      </c>
      <c r="D180" s="44">
        <f t="shared" si="19"/>
        <v>52960.69711620323</v>
      </c>
      <c r="E180" s="44">
        <f>C180*E111</f>
        <v>55677.194877653754</v>
      </c>
      <c r="F180" s="44">
        <f t="shared" si="20"/>
        <v>31083.01380495265</v>
      </c>
      <c r="G180" s="44">
        <f t="shared" si="21"/>
        <v>2716.0910361903866</v>
      </c>
      <c r="H180" s="44">
        <f t="shared" si="18"/>
        <v>142436.99683500003</v>
      </c>
    </row>
    <row r="181" spans="1:8" ht="12.75">
      <c r="A181" s="226">
        <v>226</v>
      </c>
      <c r="B181" s="5" t="s">
        <v>229</v>
      </c>
      <c r="C181" s="5"/>
      <c r="D181" s="44">
        <f>SUM(D182:D189)</f>
        <v>36966.78755476174</v>
      </c>
      <c r="E181" s="44">
        <f>SUM(E182:E189)</f>
        <v>38862.914326284226</v>
      </c>
      <c r="F181" s="44">
        <f>SUM(F182:F189)</f>
        <v>21696.073323360095</v>
      </c>
      <c r="G181" s="44">
        <f>SUM(G182:G189)</f>
        <v>1895.8428755939449</v>
      </c>
      <c r="H181" s="44">
        <f t="shared" si="18"/>
        <v>99421.61808</v>
      </c>
    </row>
    <row r="182" spans="1:8" ht="12.75">
      <c r="A182" s="226"/>
      <c r="B182" s="50" t="str">
        <f>B113</f>
        <v>Мед. Осмотр</v>
      </c>
      <c r="C182" s="50">
        <v>1.065</v>
      </c>
      <c r="D182" s="62">
        <f aca="true" t="shared" si="22" ref="D182:E190">C182*D113</f>
        <v>0</v>
      </c>
      <c r="E182" s="62">
        <f>D182*E113</f>
        <v>0</v>
      </c>
      <c r="F182" s="44">
        <f aca="true" t="shared" si="23" ref="F182:F190">C182*F113</f>
        <v>0</v>
      </c>
      <c r="G182" s="44">
        <f aca="true" t="shared" si="24" ref="G182:G190">C182*G113</f>
        <v>0</v>
      </c>
      <c r="H182" s="51">
        <f t="shared" si="18"/>
        <v>0</v>
      </c>
    </row>
    <row r="183" spans="1:8" ht="14.25" customHeight="1">
      <c r="A183" s="226"/>
      <c r="B183" s="50" t="str">
        <f aca="true" t="shared" si="25" ref="B183:B189">B114</f>
        <v>Подписка</v>
      </c>
      <c r="C183" s="50">
        <v>1.065</v>
      </c>
      <c r="D183" s="62">
        <f t="shared" si="22"/>
        <v>0</v>
      </c>
      <c r="E183" s="62">
        <f t="shared" si="22"/>
        <v>0</v>
      </c>
      <c r="F183" s="44">
        <f t="shared" si="23"/>
        <v>0</v>
      </c>
      <c r="G183" s="44">
        <f t="shared" si="24"/>
        <v>0</v>
      </c>
      <c r="H183" s="51">
        <f t="shared" si="18"/>
        <v>0</v>
      </c>
    </row>
    <row r="184" spans="1:8" ht="12.75">
      <c r="A184" s="226"/>
      <c r="B184" s="50" t="str">
        <f t="shared" si="25"/>
        <v>Сан минимум</v>
      </c>
      <c r="C184" s="50">
        <v>1.065</v>
      </c>
      <c r="D184" s="62">
        <f t="shared" si="22"/>
        <v>0</v>
      </c>
      <c r="E184" s="62">
        <f t="shared" si="22"/>
        <v>0</v>
      </c>
      <c r="F184" s="44">
        <f t="shared" si="23"/>
        <v>0</v>
      </c>
      <c r="G184" s="44">
        <f t="shared" si="24"/>
        <v>0</v>
      </c>
      <c r="H184" s="51">
        <f t="shared" si="18"/>
        <v>0</v>
      </c>
    </row>
    <row r="185" spans="1:8" ht="12.75">
      <c r="A185" s="226"/>
      <c r="B185" s="50" t="str">
        <f t="shared" si="25"/>
        <v>Договора ГПХ</v>
      </c>
      <c r="C185" s="50">
        <v>1.065</v>
      </c>
      <c r="D185" s="62">
        <f t="shared" si="22"/>
        <v>16559.874600841413</v>
      </c>
      <c r="E185" s="62">
        <f aca="true" t="shared" si="26" ref="E185:E190">C185*E116</f>
        <v>17409.275472291123</v>
      </c>
      <c r="F185" s="44">
        <f t="shared" si="23"/>
        <v>9719.109431223054</v>
      </c>
      <c r="G185" s="44">
        <f t="shared" si="24"/>
        <v>849.273695644411</v>
      </c>
      <c r="H185" s="51">
        <f t="shared" si="18"/>
        <v>44537.533200000005</v>
      </c>
    </row>
    <row r="186" spans="1:8" ht="25.5">
      <c r="A186" s="226"/>
      <c r="B186" s="50" t="str">
        <f t="shared" si="25"/>
        <v>Смывы и обследования Центра гигиены</v>
      </c>
      <c r="C186" s="50">
        <v>1.065</v>
      </c>
      <c r="D186" s="62">
        <f t="shared" si="22"/>
        <v>8897.969430206713</v>
      </c>
      <c r="E186" s="62">
        <f t="shared" si="26"/>
        <v>9354.370409702438</v>
      </c>
      <c r="F186" s="44">
        <f t="shared" si="23"/>
        <v>5222.282214834065</v>
      </c>
      <c r="G186" s="44">
        <f t="shared" si="24"/>
        <v>456.3326452567873</v>
      </c>
      <c r="H186" s="51">
        <f t="shared" si="18"/>
        <v>23930.954700000006</v>
      </c>
    </row>
    <row r="187" spans="1:8" ht="12.75">
      <c r="A187" s="226"/>
      <c r="B187" s="50" t="str">
        <f t="shared" si="25"/>
        <v>ФГУП "Охрана"</v>
      </c>
      <c r="C187" s="50">
        <v>1.065</v>
      </c>
      <c r="D187" s="62">
        <f t="shared" si="22"/>
        <v>6526.588614411374</v>
      </c>
      <c r="E187" s="62">
        <f t="shared" si="26"/>
        <v>6861.355041712282</v>
      </c>
      <c r="F187" s="44">
        <f t="shared" si="23"/>
        <v>3830.5017691870407</v>
      </c>
      <c r="G187" s="44">
        <f t="shared" si="24"/>
        <v>334.71630468930283</v>
      </c>
      <c r="H187" s="51">
        <f t="shared" si="18"/>
        <v>17553.16173</v>
      </c>
    </row>
    <row r="188" spans="1:8" ht="12.75">
      <c r="A188" s="226"/>
      <c r="B188" s="50" t="str">
        <f t="shared" si="25"/>
        <v>Утилизация</v>
      </c>
      <c r="C188" s="50">
        <v>1.065</v>
      </c>
      <c r="D188" s="62">
        <f t="shared" si="22"/>
        <v>749.2581299460456</v>
      </c>
      <c r="E188" s="62">
        <f t="shared" si="26"/>
        <v>787.6896110929265</v>
      </c>
      <c r="F188" s="44">
        <f t="shared" si="23"/>
        <v>439.7449819341719</v>
      </c>
      <c r="G188" s="44">
        <f t="shared" si="24"/>
        <v>38.42572702685601</v>
      </c>
      <c r="H188" s="51">
        <f t="shared" si="18"/>
        <v>2015.1184500000002</v>
      </c>
    </row>
    <row r="189" spans="1:8" ht="25.5">
      <c r="A189" s="226"/>
      <c r="B189" s="50" t="str">
        <f t="shared" si="25"/>
        <v>Найм жилья при служебных командировках</v>
      </c>
      <c r="C189" s="50">
        <v>1.065</v>
      </c>
      <c r="D189" s="62">
        <f t="shared" si="22"/>
        <v>4233.0967793561895</v>
      </c>
      <c r="E189" s="62">
        <f t="shared" si="26"/>
        <v>4450.22379148546</v>
      </c>
      <c r="F189" s="44">
        <f t="shared" si="23"/>
        <v>2484.4349261817615</v>
      </c>
      <c r="G189" s="44">
        <f t="shared" si="24"/>
        <v>217.09450297658768</v>
      </c>
      <c r="H189" s="51">
        <f t="shared" si="18"/>
        <v>11384.85</v>
      </c>
    </row>
    <row r="190" spans="1:8" ht="12.75">
      <c r="A190" s="4">
        <v>290</v>
      </c>
      <c r="B190" s="5" t="str">
        <f>B121</f>
        <v>Налоги, транспортный налог</v>
      </c>
      <c r="C190" s="5">
        <v>1.065</v>
      </c>
      <c r="D190" s="44">
        <f t="shared" si="22"/>
        <v>2116.5483896780947</v>
      </c>
      <c r="E190" s="44">
        <f t="shared" si="26"/>
        <v>2225.11189574273</v>
      </c>
      <c r="F190" s="44">
        <f t="shared" si="23"/>
        <v>1242.2174630908808</v>
      </c>
      <c r="G190" s="44">
        <f t="shared" si="24"/>
        <v>108.54725148829384</v>
      </c>
      <c r="H190" s="44">
        <f t="shared" si="18"/>
        <v>5692.425</v>
      </c>
    </row>
    <row r="191" spans="1:8" ht="12.75">
      <c r="A191" s="226">
        <v>340</v>
      </c>
      <c r="B191" s="5" t="s">
        <v>231</v>
      </c>
      <c r="C191" s="5"/>
      <c r="D191" s="44">
        <f>SUM(D192:D200)</f>
        <v>43452.353050313504</v>
      </c>
      <c r="E191" s="44">
        <f>SUM(E192:E200)</f>
        <v>45681.142062133746</v>
      </c>
      <c r="F191" s="44">
        <f>SUM(F192:F200)</f>
        <v>25502.498329225127</v>
      </c>
      <c r="G191" s="44">
        <f>SUM(G192:G200)</f>
        <v>2228.45530832766</v>
      </c>
      <c r="H191" s="44">
        <f t="shared" si="18"/>
        <v>116864.44875000003</v>
      </c>
    </row>
    <row r="192" spans="1:8" ht="12.75">
      <c r="A192" s="226"/>
      <c r="B192" s="15" t="str">
        <f>B123</f>
        <v>Медикаменты</v>
      </c>
      <c r="C192" s="15">
        <v>1.05</v>
      </c>
      <c r="D192" s="27">
        <f>C192*D123</f>
        <v>10658.17460750429</v>
      </c>
      <c r="E192" s="27">
        <f>C192*E123</f>
        <v>11204.861283453956</v>
      </c>
      <c r="F192" s="44">
        <f aca="true" t="shared" si="27" ref="F192:F199">C192*F123</f>
        <v>6255.359285278263</v>
      </c>
      <c r="G192" s="44">
        <f aca="true" t="shared" si="28" ref="G192:G199">C192*G123</f>
        <v>546.6048237635005</v>
      </c>
      <c r="H192" s="27">
        <f t="shared" si="18"/>
        <v>28665.00000000001</v>
      </c>
    </row>
    <row r="193" spans="1:8" ht="12.75">
      <c r="A193" s="226"/>
      <c r="B193" s="15" t="str">
        <f aca="true" t="shared" si="29" ref="B193:B200">B124</f>
        <v>Мягкий инвентарь</v>
      </c>
      <c r="C193" s="15">
        <v>1.05</v>
      </c>
      <c r="D193" s="27">
        <f aca="true" t="shared" si="30" ref="D193:D199">C193*D124</f>
        <v>0</v>
      </c>
      <c r="E193" s="27">
        <f aca="true" t="shared" si="31" ref="E193:E200">C193*E124</f>
        <v>0</v>
      </c>
      <c r="F193" s="44">
        <f t="shared" si="27"/>
        <v>0</v>
      </c>
      <c r="G193" s="44">
        <f t="shared" si="28"/>
        <v>0</v>
      </c>
      <c r="H193" s="27">
        <f t="shared" si="18"/>
        <v>0</v>
      </c>
    </row>
    <row r="194" spans="1:8" ht="12.75">
      <c r="A194" s="226"/>
      <c r="B194" s="15" t="str">
        <f t="shared" si="29"/>
        <v>Посуда</v>
      </c>
      <c r="C194" s="15">
        <v>1.05</v>
      </c>
      <c r="D194" s="27">
        <f t="shared" si="30"/>
        <v>0</v>
      </c>
      <c r="E194" s="27">
        <f t="shared" si="31"/>
        <v>0</v>
      </c>
      <c r="F194" s="44">
        <f t="shared" si="27"/>
        <v>0</v>
      </c>
      <c r="G194" s="44">
        <f t="shared" si="28"/>
        <v>0</v>
      </c>
      <c r="H194" s="27">
        <f t="shared" si="18"/>
        <v>0</v>
      </c>
    </row>
    <row r="195" spans="1:8" ht="12.75">
      <c r="A195" s="226"/>
      <c r="B195" s="15" t="str">
        <f t="shared" si="29"/>
        <v>Канцтовары</v>
      </c>
      <c r="C195" s="15">
        <v>1.05</v>
      </c>
      <c r="D195" s="27">
        <f t="shared" si="30"/>
        <v>3279.2333758742525</v>
      </c>
      <c r="E195" s="27">
        <f t="shared" si="31"/>
        <v>3447.4341475765355</v>
      </c>
      <c r="F195" s="44">
        <f t="shared" si="27"/>
        <v>1924.6056385609024</v>
      </c>
      <c r="G195" s="44">
        <f t="shared" si="28"/>
        <v>168.17558798831234</v>
      </c>
      <c r="H195" s="27">
        <f t="shared" si="18"/>
        <v>8819.448750000003</v>
      </c>
    </row>
    <row r="196" spans="1:8" ht="12.75">
      <c r="A196" s="226"/>
      <c r="B196" s="15" t="str">
        <f t="shared" si="29"/>
        <v>Продукты питания</v>
      </c>
      <c r="C196" s="15">
        <v>1.05</v>
      </c>
      <c r="D196" s="27">
        <f t="shared" si="30"/>
        <v>0</v>
      </c>
      <c r="E196" s="27">
        <f t="shared" si="31"/>
        <v>0</v>
      </c>
      <c r="F196" s="44">
        <f t="shared" si="27"/>
        <v>0</v>
      </c>
      <c r="G196" s="44">
        <f t="shared" si="28"/>
        <v>0</v>
      </c>
      <c r="H196" s="27">
        <f t="shared" si="18"/>
        <v>0</v>
      </c>
    </row>
    <row r="197" spans="1:8" ht="12.75">
      <c r="A197" s="226"/>
      <c r="B197" s="15" t="str">
        <f t="shared" si="29"/>
        <v>Моющее</v>
      </c>
      <c r="C197" s="15">
        <v>1.05</v>
      </c>
      <c r="D197" s="27">
        <f t="shared" si="30"/>
        <v>13117.753363082204</v>
      </c>
      <c r="E197" s="27">
        <f t="shared" si="31"/>
        <v>13790.598502712559</v>
      </c>
      <c r="F197" s="44">
        <f t="shared" si="27"/>
        <v>7698.903735727094</v>
      </c>
      <c r="G197" s="44">
        <f t="shared" si="28"/>
        <v>672.7443984781543</v>
      </c>
      <c r="H197" s="27">
        <f t="shared" si="18"/>
        <v>35280.000000000015</v>
      </c>
    </row>
    <row r="198" spans="1:8" ht="25.5">
      <c r="A198" s="226"/>
      <c r="B198" s="15" t="str">
        <f t="shared" si="29"/>
        <v>Прочие хоз. Товары (тряпки,  метла и т.д.)</v>
      </c>
      <c r="C198" s="15">
        <v>1.05</v>
      </c>
      <c r="D198" s="27">
        <f t="shared" si="30"/>
        <v>13117.753363082204</v>
      </c>
      <c r="E198" s="27">
        <f t="shared" si="31"/>
        <v>13790.598502712559</v>
      </c>
      <c r="F198" s="44">
        <f t="shared" si="27"/>
        <v>7698.903735727094</v>
      </c>
      <c r="G198" s="44">
        <f t="shared" si="28"/>
        <v>672.7443984781543</v>
      </c>
      <c r="H198" s="27">
        <f t="shared" si="18"/>
        <v>35280.000000000015</v>
      </c>
    </row>
    <row r="199" spans="1:8" ht="12.75">
      <c r="A199" s="226"/>
      <c r="B199" s="15" t="str">
        <f t="shared" si="29"/>
        <v>Прочие материалы</v>
      </c>
      <c r="C199" s="15">
        <v>1.05</v>
      </c>
      <c r="D199" s="27">
        <f t="shared" si="30"/>
        <v>3279.438340770551</v>
      </c>
      <c r="E199" s="27">
        <f t="shared" si="31"/>
        <v>3447.6496256781397</v>
      </c>
      <c r="F199" s="44">
        <f t="shared" si="27"/>
        <v>1924.7259339317734</v>
      </c>
      <c r="G199" s="44">
        <f t="shared" si="28"/>
        <v>168.18609961953857</v>
      </c>
      <c r="H199" s="27">
        <f t="shared" si="18"/>
        <v>8820.000000000004</v>
      </c>
    </row>
    <row r="200" spans="1:8" ht="12.75">
      <c r="A200" s="226"/>
      <c r="B200" s="15">
        <f t="shared" si="29"/>
        <v>0</v>
      </c>
      <c r="C200" s="15">
        <v>1.05</v>
      </c>
      <c r="D200" s="27">
        <f>C200*D131</f>
        <v>0</v>
      </c>
      <c r="E200" s="27">
        <f t="shared" si="31"/>
        <v>0</v>
      </c>
      <c r="F200" s="27"/>
      <c r="G200" s="27"/>
      <c r="H200" s="27">
        <f t="shared" si="18"/>
        <v>0</v>
      </c>
    </row>
    <row r="201" spans="1:8" ht="25.5">
      <c r="A201" s="56"/>
      <c r="B201" s="57" t="s">
        <v>237</v>
      </c>
      <c r="C201" s="57"/>
      <c r="D201" s="58">
        <f>D202</f>
        <v>237525.96002656003</v>
      </c>
      <c r="E201" s="58">
        <f>E202</f>
        <v>249709.31058334728</v>
      </c>
      <c r="F201" s="58">
        <f>F202</f>
        <v>139405.69321322948</v>
      </c>
      <c r="G201" s="58">
        <f>G202</f>
        <v>12181.526415241908</v>
      </c>
      <c r="H201" s="63">
        <f t="shared" si="18"/>
        <v>638822.4902383788</v>
      </c>
    </row>
    <row r="202" spans="1:8" ht="12.75">
      <c r="A202" s="226">
        <v>223</v>
      </c>
      <c r="B202" s="5" t="s">
        <v>238</v>
      </c>
      <c r="C202" s="5"/>
      <c r="D202" s="44">
        <f>SUM(D203:D204)</f>
        <v>237525.96002656003</v>
      </c>
      <c r="E202" s="44">
        <f>SUM(E203:E204)</f>
        <v>249709.31058334728</v>
      </c>
      <c r="F202" s="44">
        <f>SUM(F203:F204)</f>
        <v>139405.69321322948</v>
      </c>
      <c r="G202" s="44">
        <f>SUM(G203:G204)</f>
        <v>12181.526415241908</v>
      </c>
      <c r="H202" s="44">
        <f t="shared" si="18"/>
        <v>638822.4902383788</v>
      </c>
    </row>
    <row r="203" spans="1:8" ht="12.75">
      <c r="A203" s="226"/>
      <c r="B203" s="15" t="str">
        <f>B134</f>
        <v>Тепловая энергия</v>
      </c>
      <c r="C203" s="15">
        <v>1.083</v>
      </c>
      <c r="D203" s="27">
        <f>C203*D134</f>
        <v>226040.99608119443</v>
      </c>
      <c r="E203" s="27">
        <f>C203*E134</f>
        <v>237635.25169500028</v>
      </c>
      <c r="F203" s="44">
        <f>C203*F134</f>
        <v>132665.08532281782</v>
      </c>
      <c r="G203" s="44">
        <f>C203*G134</f>
        <v>11592.519673987488</v>
      </c>
      <c r="H203" s="51">
        <f t="shared" si="18"/>
        <v>607933.852773</v>
      </c>
    </row>
    <row r="204" spans="1:8" ht="12.75">
      <c r="A204" s="226"/>
      <c r="B204" s="15" t="str">
        <f>B135</f>
        <v>Электрическая энергия</v>
      </c>
      <c r="C204" s="15">
        <v>1.083</v>
      </c>
      <c r="D204" s="27">
        <f>C204*D135</f>
        <v>11484.963945365591</v>
      </c>
      <c r="E204" s="27">
        <f>C204*E135</f>
        <v>12074.058888347</v>
      </c>
      <c r="F204" s="44">
        <f>C204*F135</f>
        <v>6740.607890411669</v>
      </c>
      <c r="G204" s="44">
        <f>C204*G135</f>
        <v>589.0067412544204</v>
      </c>
      <c r="H204" s="51">
        <f t="shared" si="18"/>
        <v>30888.63746537868</v>
      </c>
    </row>
    <row r="205" spans="1:8" ht="27" customHeight="1">
      <c r="A205" s="4"/>
      <c r="B205" s="15" t="str">
        <f>B136</f>
        <v>Доходы учреждения от оказания услуг (родительская плата)</v>
      </c>
      <c r="C205" s="15">
        <f>C136</f>
        <v>0</v>
      </c>
      <c r="D205" s="223">
        <f>D136</f>
        <v>0</v>
      </c>
      <c r="E205" s="223">
        <f>E136</f>
        <v>0</v>
      </c>
      <c r="F205" s="223">
        <f>F136</f>
        <v>1913686.296</v>
      </c>
      <c r="G205" s="223">
        <f>G136</f>
        <v>36000</v>
      </c>
      <c r="H205" s="51">
        <f t="shared" si="18"/>
        <v>1949686.296</v>
      </c>
    </row>
    <row r="206" spans="1:8" ht="25.5">
      <c r="A206" s="4"/>
      <c r="B206" s="5" t="s">
        <v>239</v>
      </c>
      <c r="C206" s="5"/>
      <c r="D206" s="44">
        <f>D146+D161+D201-D205</f>
        <v>7906691.445805376</v>
      </c>
      <c r="E206" s="44">
        <f>E146+E161+E201-E205</f>
        <v>8312247.089566699</v>
      </c>
      <c r="F206" s="44">
        <f>F146+F161+F201-F205</f>
        <v>5304440.242395518</v>
      </c>
      <c r="G206" s="44">
        <f>G146+G161+G201-G205</f>
        <v>369494.9222959691</v>
      </c>
      <c r="H206" s="44">
        <f t="shared" si="18"/>
        <v>21892873.70006356</v>
      </c>
    </row>
    <row r="207" spans="1:8" ht="12.75">
      <c r="A207" s="4"/>
      <c r="B207" s="5" t="str">
        <f>B138</f>
        <v>Объем муниципальных услуг</v>
      </c>
      <c r="C207" s="15"/>
      <c r="D207" s="44">
        <f>D138</f>
        <v>18499.827999999998</v>
      </c>
      <c r="E207" s="44">
        <f>E138</f>
        <v>14900.009999999998</v>
      </c>
      <c r="F207" s="44">
        <f>F138</f>
        <v>33399.837999999996</v>
      </c>
      <c r="G207" s="44">
        <f>G138</f>
        <v>800</v>
      </c>
      <c r="H207" s="6"/>
    </row>
    <row r="208" spans="1:8" ht="13.5" customHeight="1">
      <c r="A208" s="4"/>
      <c r="B208" s="5" t="str">
        <f>B139</f>
        <v>Себестоимость единицы услуги</v>
      </c>
      <c r="C208" s="15"/>
      <c r="D208" s="44">
        <f>D206/D207</f>
        <v>427.39270039728893</v>
      </c>
      <c r="E208" s="44">
        <f>E206/E207</f>
        <v>557.8685577772566</v>
      </c>
      <c r="F208" s="44">
        <f>F206/F207</f>
        <v>158.81634642645628</v>
      </c>
      <c r="G208" s="44">
        <f>G206/G207</f>
        <v>461.86865286996135</v>
      </c>
      <c r="H208" s="6"/>
    </row>
    <row r="209" spans="1:8" ht="12.75">
      <c r="A209" s="4"/>
      <c r="B209" s="5" t="str">
        <f>B140</f>
        <v>Кол-во детей</v>
      </c>
      <c r="C209" s="5"/>
      <c r="D209" s="44">
        <f>D140</f>
        <v>123</v>
      </c>
      <c r="E209" s="44">
        <f>E140</f>
        <v>104</v>
      </c>
      <c r="F209" s="44">
        <f>F140</f>
        <v>227</v>
      </c>
      <c r="G209" s="44"/>
      <c r="H209" s="8"/>
    </row>
    <row r="210" spans="1:8" ht="12.75">
      <c r="A210" s="4"/>
      <c r="B210" s="5" t="str">
        <f>B141</f>
        <v>Затраты на 1-го ребенка в мес.</v>
      </c>
      <c r="C210" s="5"/>
      <c r="D210" s="44">
        <f>D206/D209/12</f>
        <v>5356.837022903372</v>
      </c>
      <c r="E210" s="44">
        <f>E206/E209/12</f>
        <v>6660.454398691265</v>
      </c>
      <c r="F210" s="44">
        <f>F206/F209/12</f>
        <v>1947.2981800277232</v>
      </c>
      <c r="G210" s="44"/>
      <c r="H210" s="8"/>
    </row>
  </sheetData>
  <sheetProtection/>
  <mergeCells count="50">
    <mergeCell ref="A191:A200"/>
    <mergeCell ref="A202:A204"/>
    <mergeCell ref="A166:A168"/>
    <mergeCell ref="A169:A172"/>
    <mergeCell ref="A174:A178"/>
    <mergeCell ref="A181:A189"/>
    <mergeCell ref="A150:A152"/>
    <mergeCell ref="A153:A156"/>
    <mergeCell ref="A158:A160"/>
    <mergeCell ref="A162:A164"/>
    <mergeCell ref="A144:A145"/>
    <mergeCell ref="B144:B145"/>
    <mergeCell ref="C144:C145"/>
    <mergeCell ref="H144:H145"/>
    <mergeCell ref="D144:G144"/>
    <mergeCell ref="A122:A131"/>
    <mergeCell ref="A133:A135"/>
    <mergeCell ref="A142:H142"/>
    <mergeCell ref="A143:H143"/>
    <mergeCell ref="A97:A99"/>
    <mergeCell ref="A100:A103"/>
    <mergeCell ref="A105:A109"/>
    <mergeCell ref="A112:A120"/>
    <mergeCell ref="A81:A83"/>
    <mergeCell ref="A84:A87"/>
    <mergeCell ref="A89:A91"/>
    <mergeCell ref="A93:A95"/>
    <mergeCell ref="A75:A76"/>
    <mergeCell ref="B75:B76"/>
    <mergeCell ref="C75:C76"/>
    <mergeCell ref="H75:H76"/>
    <mergeCell ref="D75:G75"/>
    <mergeCell ref="A52:A61"/>
    <mergeCell ref="A63:A65"/>
    <mergeCell ref="A73:H73"/>
    <mergeCell ref="A74:H74"/>
    <mergeCell ref="A27:A29"/>
    <mergeCell ref="A30:A33"/>
    <mergeCell ref="A35:A39"/>
    <mergeCell ref="A42:A50"/>
    <mergeCell ref="A9:A12"/>
    <mergeCell ref="A13:A17"/>
    <mergeCell ref="A19:A21"/>
    <mergeCell ref="A23:A25"/>
    <mergeCell ref="A1:H1"/>
    <mergeCell ref="A3:A4"/>
    <mergeCell ref="B3:B4"/>
    <mergeCell ref="C3:C4"/>
    <mergeCell ref="H3:H4"/>
    <mergeCell ref="D3:G3"/>
  </mergeCells>
  <printOptions/>
  <pageMargins left="0.61" right="0.15" top="0.32" bottom="0.29" header="0.5" footer="0.5"/>
  <pageSetup horizontalDpi="300" verticalDpi="300" orientation="portrait" paperSize="9" scale="64" r:id="rId1"/>
  <rowBreaks count="2" manualBreakCount="2">
    <brk id="71" max="5" man="1"/>
    <brk id="141" max="5" man="1"/>
  </rowBreaks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31">
      <selection activeCell="G52" sqref="G52"/>
    </sheetView>
  </sheetViews>
  <sheetFormatPr defaultColWidth="9.140625" defaultRowHeight="12.75"/>
  <cols>
    <col min="1" max="1" width="26.57421875" style="0" customWidth="1"/>
    <col min="3" max="3" width="9.8515625" style="0" customWidth="1"/>
    <col min="4" max="4" width="14.57421875" style="0" customWidth="1"/>
    <col min="5" max="5" width="14.28125" style="0" customWidth="1"/>
    <col min="6" max="6" width="11.8515625" style="0" customWidth="1"/>
    <col min="7" max="7" width="17.00390625" style="0" customWidth="1"/>
    <col min="8" max="8" width="17.140625" style="0" customWidth="1"/>
    <col min="9" max="9" width="15.7109375" style="0" customWidth="1"/>
    <col min="10" max="12" width="10.57421875" style="0" bestFit="1" customWidth="1"/>
  </cols>
  <sheetData>
    <row r="1" spans="1:4" ht="15">
      <c r="A1" s="243" t="s">
        <v>271</v>
      </c>
      <c r="B1" s="243"/>
      <c r="C1" s="243"/>
      <c r="D1" s="243"/>
    </row>
    <row r="3" spans="1:12" ht="15.75">
      <c r="A3" s="253" t="s">
        <v>38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</row>
    <row r="6" spans="1:12" ht="18" customHeight="1">
      <c r="A6" s="244" t="s">
        <v>0</v>
      </c>
      <c r="B6" s="244" t="s">
        <v>2</v>
      </c>
      <c r="C6" s="244" t="s">
        <v>3</v>
      </c>
      <c r="D6" s="244" t="s">
        <v>4</v>
      </c>
      <c r="E6" s="244" t="s">
        <v>5</v>
      </c>
      <c r="F6" s="244" t="s">
        <v>6</v>
      </c>
      <c r="G6" s="244" t="s">
        <v>7</v>
      </c>
      <c r="H6" s="244" t="s">
        <v>8</v>
      </c>
      <c r="I6" s="244" t="s">
        <v>9</v>
      </c>
      <c r="J6" s="8" t="s">
        <v>11</v>
      </c>
      <c r="K6" s="8" t="s">
        <v>12</v>
      </c>
      <c r="L6" s="8" t="s">
        <v>10</v>
      </c>
    </row>
    <row r="7" spans="1:12" ht="12.75">
      <c r="A7" s="244"/>
      <c r="B7" s="244"/>
      <c r="C7" s="244"/>
      <c r="D7" s="244"/>
      <c r="E7" s="244"/>
      <c r="F7" s="244"/>
      <c r="G7" s="244"/>
      <c r="H7" s="244"/>
      <c r="I7" s="244"/>
      <c r="J7" s="254" t="s">
        <v>13</v>
      </c>
      <c r="K7" s="254"/>
      <c r="L7" s="254"/>
    </row>
    <row r="8" spans="1:12" s="1" customFormat="1" ht="23.25" customHeight="1">
      <c r="A8" s="244"/>
      <c r="B8" s="244"/>
      <c r="C8" s="244"/>
      <c r="D8" s="244"/>
      <c r="E8" s="244"/>
      <c r="F8" s="244"/>
      <c r="G8" s="244"/>
      <c r="H8" s="244"/>
      <c r="I8" s="244"/>
      <c r="J8" s="8">
        <v>1.03</v>
      </c>
      <c r="K8" s="8">
        <v>1.052</v>
      </c>
      <c r="L8" s="8">
        <v>1.049</v>
      </c>
    </row>
    <row r="9" spans="1:12" s="1" customFormat="1" ht="12.75">
      <c r="A9" s="2" t="s">
        <v>1</v>
      </c>
      <c r="B9" s="9"/>
      <c r="C9" s="3"/>
      <c r="D9" s="10"/>
      <c r="E9" s="11"/>
      <c r="F9" s="11"/>
      <c r="G9" s="5"/>
      <c r="H9" s="5"/>
      <c r="I9" s="5"/>
      <c r="J9" s="8"/>
      <c r="K9" s="8"/>
      <c r="L9" s="8"/>
    </row>
    <row r="10" spans="1:14" ht="12.75">
      <c r="A10" s="6" t="s">
        <v>17</v>
      </c>
      <c r="B10" s="6">
        <v>19</v>
      </c>
      <c r="C10" s="13">
        <v>3670</v>
      </c>
      <c r="D10" s="13">
        <f aca="true" t="shared" si="0" ref="D10:D15">C10*B10*0.3</f>
        <v>20919</v>
      </c>
      <c r="E10" s="13">
        <f aca="true" t="shared" si="1" ref="E10:E15">C10*B10*0.3</f>
        <v>20919</v>
      </c>
      <c r="F10" s="16">
        <f aca="true" t="shared" si="2" ref="F10:F15">E10+D10+C10*B10</f>
        <v>111568</v>
      </c>
      <c r="G10" s="13">
        <f aca="true" t="shared" si="3" ref="G10:G15">F10*0.3</f>
        <v>33470.4</v>
      </c>
      <c r="H10" s="13">
        <f aca="true" t="shared" si="4" ref="H10:H15">F10*0.15</f>
        <v>16735.2</v>
      </c>
      <c r="I10" s="13">
        <f aca="true" t="shared" si="5" ref="I10:I15">(F10+H10)*12+G10*11</f>
        <v>1907812.7999999998</v>
      </c>
      <c r="J10" s="13">
        <f>I10*J8</f>
        <v>1965047.184</v>
      </c>
      <c r="K10" s="13">
        <f>J10*K8</f>
        <v>2067229.637568</v>
      </c>
      <c r="L10" s="13">
        <f>K10*L8</f>
        <v>2168523.8898088317</v>
      </c>
      <c r="N10">
        <f aca="true" t="shared" si="6" ref="N10:N15">I10/B10/12</f>
        <v>8367.6</v>
      </c>
    </row>
    <row r="11" spans="1:14" ht="12.75">
      <c r="A11" s="6" t="s">
        <v>18</v>
      </c>
      <c r="B11" s="6">
        <v>1.5</v>
      </c>
      <c r="C11" s="13">
        <v>3530</v>
      </c>
      <c r="D11" s="13">
        <f t="shared" si="0"/>
        <v>1588.5</v>
      </c>
      <c r="E11" s="13">
        <f t="shared" si="1"/>
        <v>1588.5</v>
      </c>
      <c r="F11" s="16">
        <f t="shared" si="2"/>
        <v>8472</v>
      </c>
      <c r="G11" s="13">
        <f t="shared" si="3"/>
        <v>2541.6</v>
      </c>
      <c r="H11" s="13">
        <f t="shared" si="4"/>
        <v>1270.8</v>
      </c>
      <c r="I11" s="13">
        <f t="shared" si="5"/>
        <v>144871.19999999998</v>
      </c>
      <c r="J11" s="13">
        <f>I11*J8</f>
        <v>149217.33599999998</v>
      </c>
      <c r="K11" s="13">
        <f>J11*K8</f>
        <v>156976.63747199997</v>
      </c>
      <c r="L11" s="13">
        <f>K11*L8</f>
        <v>164668.49270812797</v>
      </c>
      <c r="N11">
        <f t="shared" si="6"/>
        <v>8048.399999999999</v>
      </c>
    </row>
    <row r="12" spans="1:14" ht="12.75">
      <c r="A12" s="6" t="s">
        <v>19</v>
      </c>
      <c r="B12" s="6">
        <v>3</v>
      </c>
      <c r="C12" s="13">
        <v>3530</v>
      </c>
      <c r="D12" s="13">
        <f t="shared" si="0"/>
        <v>3177</v>
      </c>
      <c r="E12" s="13">
        <f t="shared" si="1"/>
        <v>3177</v>
      </c>
      <c r="F12" s="16">
        <f t="shared" si="2"/>
        <v>16944</v>
      </c>
      <c r="G12" s="13">
        <f t="shared" si="3"/>
        <v>5083.2</v>
      </c>
      <c r="H12" s="13">
        <f t="shared" si="4"/>
        <v>2541.6</v>
      </c>
      <c r="I12" s="13">
        <f t="shared" si="5"/>
        <v>289742.39999999997</v>
      </c>
      <c r="J12" s="13">
        <f>I12*J8</f>
        <v>298434.67199999996</v>
      </c>
      <c r="K12" s="13">
        <f>J12*K8</f>
        <v>313953.27494399995</v>
      </c>
      <c r="L12" s="13">
        <f>K12*L8</f>
        <v>329336.98541625595</v>
      </c>
      <c r="N12">
        <f t="shared" si="6"/>
        <v>8048.399999999999</v>
      </c>
    </row>
    <row r="13" spans="1:14" ht="12.75">
      <c r="A13" s="6" t="s">
        <v>20</v>
      </c>
      <c r="B13" s="6">
        <v>0.75</v>
      </c>
      <c r="C13" s="13">
        <v>3670</v>
      </c>
      <c r="D13" s="13">
        <f t="shared" si="0"/>
        <v>825.75</v>
      </c>
      <c r="E13" s="13">
        <f t="shared" si="1"/>
        <v>825.75</v>
      </c>
      <c r="F13" s="16">
        <f t="shared" si="2"/>
        <v>4404</v>
      </c>
      <c r="G13" s="13">
        <f t="shared" si="3"/>
        <v>1321.2</v>
      </c>
      <c r="H13" s="13">
        <f t="shared" si="4"/>
        <v>660.6</v>
      </c>
      <c r="I13" s="13">
        <f t="shared" si="5"/>
        <v>75308.40000000001</v>
      </c>
      <c r="J13" s="13">
        <f>I13*J8</f>
        <v>77567.65200000002</v>
      </c>
      <c r="K13" s="13">
        <f>J13*K8</f>
        <v>81601.16990400002</v>
      </c>
      <c r="L13" s="13">
        <f>K13*L8</f>
        <v>85599.62722929602</v>
      </c>
      <c r="N13">
        <f t="shared" si="6"/>
        <v>8367.6</v>
      </c>
    </row>
    <row r="14" spans="1:14" ht="12.75">
      <c r="A14" s="6" t="s">
        <v>315</v>
      </c>
      <c r="B14" s="6">
        <v>1</v>
      </c>
      <c r="C14" s="13">
        <v>3055</v>
      </c>
      <c r="D14" s="13">
        <f t="shared" si="0"/>
        <v>916.5</v>
      </c>
      <c r="E14" s="13">
        <f t="shared" si="1"/>
        <v>916.5</v>
      </c>
      <c r="F14" s="16">
        <f t="shared" si="2"/>
        <v>4888</v>
      </c>
      <c r="G14" s="13">
        <f t="shared" si="3"/>
        <v>1466.3999999999999</v>
      </c>
      <c r="H14" s="13">
        <f t="shared" si="4"/>
        <v>733.1999999999999</v>
      </c>
      <c r="I14" s="13">
        <f t="shared" si="5"/>
        <v>83584.79999999999</v>
      </c>
      <c r="J14" s="13">
        <f>I14*J8</f>
        <v>86092.344</v>
      </c>
      <c r="K14" s="13">
        <f>J14*K8</f>
        <v>90569.145888</v>
      </c>
      <c r="L14" s="13">
        <f>K14*L8</f>
        <v>95007.03403651199</v>
      </c>
      <c r="N14">
        <f t="shared" si="6"/>
        <v>6965.399999999999</v>
      </c>
    </row>
    <row r="15" spans="1:14" ht="12.75">
      <c r="A15" s="6" t="s">
        <v>21</v>
      </c>
      <c r="B15" s="6">
        <v>3</v>
      </c>
      <c r="C15" s="13">
        <v>3740</v>
      </c>
      <c r="D15" s="13">
        <f t="shared" si="0"/>
        <v>3366</v>
      </c>
      <c r="E15" s="13">
        <f t="shared" si="1"/>
        <v>3366</v>
      </c>
      <c r="F15" s="16">
        <f t="shared" si="2"/>
        <v>17952</v>
      </c>
      <c r="G15" s="13">
        <f t="shared" si="3"/>
        <v>5385.599999999999</v>
      </c>
      <c r="H15" s="13">
        <f t="shared" si="4"/>
        <v>2692.7999999999997</v>
      </c>
      <c r="I15" s="13">
        <f t="shared" si="5"/>
        <v>306979.19999999995</v>
      </c>
      <c r="J15" s="13">
        <f>I15*J8</f>
        <v>316188.57599999994</v>
      </c>
      <c r="K15" s="13">
        <f>J15*K8</f>
        <v>332630.38195199997</v>
      </c>
      <c r="L15" s="13">
        <f>K15*L8</f>
        <v>348929.27066764794</v>
      </c>
      <c r="N15">
        <f t="shared" si="6"/>
        <v>8527.199999999999</v>
      </c>
    </row>
    <row r="16" spans="1:12" s="1" customFormat="1" ht="12.75">
      <c r="A16" s="7" t="s">
        <v>37</v>
      </c>
      <c r="B16" s="8"/>
      <c r="C16" s="17"/>
      <c r="D16" s="13"/>
      <c r="E16" s="13"/>
      <c r="F16" s="20"/>
      <c r="G16" s="17"/>
      <c r="H16" s="17"/>
      <c r="I16" s="17">
        <f>SUM(I10:I15)</f>
        <v>2808298.8</v>
      </c>
      <c r="J16" s="17">
        <f>SUM(J10:J15)</f>
        <v>2892547.764</v>
      </c>
      <c r="K16" s="17">
        <f>SUM(K10:K15)</f>
        <v>3042960.2477279995</v>
      </c>
      <c r="L16" s="17">
        <f>SUM(L10:L15)</f>
        <v>3192065.2998666717</v>
      </c>
    </row>
    <row r="17" spans="1:12" ht="12.75">
      <c r="A17" s="6"/>
      <c r="B17" s="6"/>
      <c r="C17" s="13"/>
      <c r="D17" s="13"/>
      <c r="E17" s="13"/>
      <c r="F17" s="16"/>
      <c r="G17" s="13"/>
      <c r="H17" s="13"/>
      <c r="I17" s="13"/>
      <c r="J17" s="13"/>
      <c r="K17" s="13"/>
      <c r="L17" s="13"/>
    </row>
    <row r="18" spans="1:12" ht="12.75">
      <c r="A18" s="14" t="s">
        <v>15</v>
      </c>
      <c r="B18" s="6"/>
      <c r="C18" s="13"/>
      <c r="D18" s="13"/>
      <c r="E18" s="13"/>
      <c r="F18" s="16"/>
      <c r="G18" s="13"/>
      <c r="H18" s="13"/>
      <c r="I18" s="13"/>
      <c r="J18" s="13"/>
      <c r="K18" s="13"/>
      <c r="L18" s="13"/>
    </row>
    <row r="19" spans="1:14" ht="12.75">
      <c r="A19" s="6" t="s">
        <v>22</v>
      </c>
      <c r="B19" s="6">
        <v>1</v>
      </c>
      <c r="C19" s="13">
        <v>13981</v>
      </c>
      <c r="D19" s="13">
        <f>C19*B19*0.3</f>
        <v>4194.3</v>
      </c>
      <c r="E19" s="13">
        <f>C19*B19*0.3</f>
        <v>4194.3</v>
      </c>
      <c r="F19" s="16">
        <f>E19+D19+C19*B19</f>
        <v>22369.6</v>
      </c>
      <c r="G19" s="13">
        <f>F19*0.3</f>
        <v>6710.879999999999</v>
      </c>
      <c r="H19" s="13">
        <f>F19*0.15</f>
        <v>3355.4399999999996</v>
      </c>
      <c r="I19" s="13">
        <f>(F19+H19)*12+G19*11</f>
        <v>382520.16</v>
      </c>
      <c r="J19" s="13">
        <f>I19*J8</f>
        <v>393995.7648</v>
      </c>
      <c r="K19" s="13">
        <f>J19*K8</f>
        <v>414483.5445696</v>
      </c>
      <c r="L19" s="13">
        <f>K19*L8</f>
        <v>434793.2382535104</v>
      </c>
      <c r="N19">
        <f>I19/B19/12</f>
        <v>31876.679999999997</v>
      </c>
    </row>
    <row r="20" spans="1:14" ht="12.75">
      <c r="A20" s="6" t="s">
        <v>23</v>
      </c>
      <c r="B20" s="6">
        <v>1</v>
      </c>
      <c r="C20" s="13">
        <v>12583</v>
      </c>
      <c r="D20" s="13">
        <f>C20*B20*0.3</f>
        <v>3774.8999999999996</v>
      </c>
      <c r="E20" s="13">
        <f>C20*B20*0.3</f>
        <v>3774.8999999999996</v>
      </c>
      <c r="F20" s="16">
        <f>E20+D20+C20*B20</f>
        <v>20132.8</v>
      </c>
      <c r="G20" s="13">
        <f>F20*0.3</f>
        <v>6039.839999999999</v>
      </c>
      <c r="H20" s="13">
        <f>F20*0.15</f>
        <v>3019.9199999999996</v>
      </c>
      <c r="I20" s="13">
        <f>(F20+H20)*12+G20*11</f>
        <v>344270.87999999995</v>
      </c>
      <c r="J20" s="13">
        <f>I20*J8</f>
        <v>354599.00639999995</v>
      </c>
      <c r="K20" s="13">
        <f>J20*K8</f>
        <v>373038.1547328</v>
      </c>
      <c r="L20" s="13">
        <f>K20*L8</f>
        <v>391317.02431470715</v>
      </c>
      <c r="N20">
        <f>I20/B20/12</f>
        <v>28689.239999999994</v>
      </c>
    </row>
    <row r="21" spans="1:14" ht="12.75">
      <c r="A21" s="6" t="s">
        <v>316</v>
      </c>
      <c r="B21" s="6">
        <v>1</v>
      </c>
      <c r="C21" s="13">
        <v>9787</v>
      </c>
      <c r="D21" s="13">
        <f>C21*B21*0.3</f>
        <v>2936.1</v>
      </c>
      <c r="E21" s="13">
        <f>C21*B21*0.3</f>
        <v>2936.1</v>
      </c>
      <c r="F21" s="16">
        <f>E21+D21+C21*B21</f>
        <v>15659.2</v>
      </c>
      <c r="G21" s="13">
        <f>F21*0.3</f>
        <v>4697.76</v>
      </c>
      <c r="H21" s="13">
        <f>F21*0.15</f>
        <v>2348.88</v>
      </c>
      <c r="I21" s="13">
        <f>(F21+H21)*12+G21*11</f>
        <v>267772.32</v>
      </c>
      <c r="J21" s="13">
        <f>I21*J8</f>
        <v>275805.48960000003</v>
      </c>
      <c r="K21" s="13">
        <f>J21*K8</f>
        <v>290147.37505920004</v>
      </c>
      <c r="L21" s="13">
        <f>K21*L8</f>
        <v>304364.59643710084</v>
      </c>
      <c r="N21">
        <f>I21/B21/12</f>
        <v>22314.36</v>
      </c>
    </row>
    <row r="22" spans="1:12" s="1" customFormat="1" ht="12.75">
      <c r="A22" s="7" t="s">
        <v>37</v>
      </c>
      <c r="B22" s="8"/>
      <c r="C22" s="17"/>
      <c r="D22" s="13"/>
      <c r="E22" s="13"/>
      <c r="F22" s="20"/>
      <c r="G22" s="17"/>
      <c r="H22" s="17"/>
      <c r="I22" s="17">
        <f>SUM(I19:I21)</f>
        <v>994563.3599999999</v>
      </c>
      <c r="J22" s="17">
        <f>SUM(J19:J21)</f>
        <v>1024400.2608</v>
      </c>
      <c r="K22" s="17">
        <f>SUM(K19:K21)</f>
        <v>1077669.0743616</v>
      </c>
      <c r="L22" s="17">
        <f>SUM(L19:L21)</f>
        <v>1130474.8590053183</v>
      </c>
    </row>
    <row r="23" spans="1:12" ht="12.75">
      <c r="A23" s="6"/>
      <c r="B23" s="6"/>
      <c r="C23" s="13"/>
      <c r="D23" s="13"/>
      <c r="E23" s="13"/>
      <c r="F23" s="16"/>
      <c r="G23" s="13"/>
      <c r="H23" s="13"/>
      <c r="I23" s="13"/>
      <c r="J23" s="13"/>
      <c r="K23" s="13"/>
      <c r="L23" s="13"/>
    </row>
    <row r="24" spans="1:12" ht="12.75">
      <c r="A24" s="14" t="s">
        <v>14</v>
      </c>
      <c r="B24" s="6"/>
      <c r="C24" s="13"/>
      <c r="D24" s="13"/>
      <c r="E24" s="13"/>
      <c r="F24" s="16"/>
      <c r="G24" s="13"/>
      <c r="H24" s="13"/>
      <c r="I24" s="13"/>
      <c r="J24" s="13"/>
      <c r="K24" s="13"/>
      <c r="L24" s="13"/>
    </row>
    <row r="25" spans="1:14" ht="12.75">
      <c r="A25" s="6" t="s">
        <v>24</v>
      </c>
      <c r="B25" s="6">
        <v>1</v>
      </c>
      <c r="C25" s="13">
        <v>2710</v>
      </c>
      <c r="D25" s="13">
        <f>C25*B25*0.3</f>
        <v>813</v>
      </c>
      <c r="E25" s="13">
        <f>C25*B25*0.3</f>
        <v>813</v>
      </c>
      <c r="F25" s="16">
        <f>E25+D25+C25*B25</f>
        <v>4336</v>
      </c>
      <c r="G25" s="13">
        <f>F25*0.3</f>
        <v>1300.8</v>
      </c>
      <c r="H25" s="13">
        <f>F25*0.15</f>
        <v>650.4</v>
      </c>
      <c r="I25" s="13">
        <f>(F25+H25)*12+G25*11</f>
        <v>74145.59999999999</v>
      </c>
      <c r="J25" s="13">
        <f>I25*J8</f>
        <v>76369.968</v>
      </c>
      <c r="K25" s="13">
        <f>J25*K8</f>
        <v>80341.206336</v>
      </c>
      <c r="L25" s="13">
        <f>K25*L8</f>
        <v>84277.925446464</v>
      </c>
      <c r="N25">
        <f>I25/B25/12</f>
        <v>6178.799999999999</v>
      </c>
    </row>
    <row r="26" spans="1:14" ht="12.75">
      <c r="A26" s="6" t="s">
        <v>25</v>
      </c>
      <c r="B26" s="6">
        <v>0.75</v>
      </c>
      <c r="C26" s="13">
        <v>2710</v>
      </c>
      <c r="D26" s="13">
        <f>C26*B26*0.3</f>
        <v>609.75</v>
      </c>
      <c r="E26" s="13">
        <f>C26*B26*0.3</f>
        <v>609.75</v>
      </c>
      <c r="F26" s="16">
        <f>E26+D26+C26*B26</f>
        <v>3252</v>
      </c>
      <c r="G26" s="13">
        <f>F26*0.3</f>
        <v>975.5999999999999</v>
      </c>
      <c r="H26" s="13">
        <f>F26*0.15</f>
        <v>487.79999999999995</v>
      </c>
      <c r="I26" s="13">
        <f>(F26+H26)*12+G26*11</f>
        <v>55609.200000000004</v>
      </c>
      <c r="J26" s="13">
        <f>I26*J8</f>
        <v>57277.476</v>
      </c>
      <c r="K26" s="13">
        <f>J26*K8</f>
        <v>60255.904752</v>
      </c>
      <c r="L26" s="13">
        <f>K26*L8</f>
        <v>63208.444084848</v>
      </c>
      <c r="N26">
        <f>I26/B26/12</f>
        <v>6178.8</v>
      </c>
    </row>
    <row r="27" spans="1:12" s="1" customFormat="1" ht="12.75">
      <c r="A27" s="7" t="s">
        <v>37</v>
      </c>
      <c r="B27" s="8"/>
      <c r="C27" s="17"/>
      <c r="D27" s="13"/>
      <c r="E27" s="13"/>
      <c r="F27" s="20"/>
      <c r="G27" s="17"/>
      <c r="H27" s="17"/>
      <c r="I27" s="17">
        <f>SUM(I25:I26)</f>
        <v>129754.79999999999</v>
      </c>
      <c r="J27" s="17">
        <f>SUM(J25:J26)</f>
        <v>133647.444</v>
      </c>
      <c r="K27" s="17">
        <f>SUM(K25:K26)</f>
        <v>140597.111088</v>
      </c>
      <c r="L27" s="17">
        <f>SUM(L25:L26)</f>
        <v>147486.369531312</v>
      </c>
    </row>
    <row r="28" spans="1:12" ht="12.75">
      <c r="A28" s="6"/>
      <c r="B28" s="6"/>
      <c r="C28" s="13"/>
      <c r="D28" s="13"/>
      <c r="E28" s="13"/>
      <c r="F28" s="16"/>
      <c r="G28" s="13"/>
      <c r="H28" s="13"/>
      <c r="I28" s="13"/>
      <c r="J28" s="13"/>
      <c r="K28" s="13"/>
      <c r="L28" s="13"/>
    </row>
    <row r="29" spans="1:12" ht="12.75">
      <c r="A29" s="14" t="s">
        <v>16</v>
      </c>
      <c r="B29" s="6"/>
      <c r="C29" s="13"/>
      <c r="D29" s="13"/>
      <c r="E29" s="13"/>
      <c r="F29" s="16"/>
      <c r="G29" s="13"/>
      <c r="H29" s="13"/>
      <c r="I29" s="13"/>
      <c r="J29" s="13"/>
      <c r="K29" s="13"/>
      <c r="L29" s="13"/>
    </row>
    <row r="34" spans="1:14" ht="12.75">
      <c r="A34" s="15" t="s">
        <v>28</v>
      </c>
      <c r="B34" s="6">
        <v>2</v>
      </c>
      <c r="C34" s="13">
        <v>2981</v>
      </c>
      <c r="D34" s="13">
        <f>C34*B34*0.3</f>
        <v>1788.6</v>
      </c>
      <c r="E34" s="13">
        <f>C34*B34*0.3</f>
        <v>1788.6</v>
      </c>
      <c r="F34" s="16">
        <f>E34+D34+C34*B34</f>
        <v>9539.2</v>
      </c>
      <c r="G34" s="13">
        <f>F34*0.3</f>
        <v>2861.76</v>
      </c>
      <c r="H34" s="13">
        <f aca="true" t="shared" si="7" ref="H34:H41">F34*0.15</f>
        <v>1430.88</v>
      </c>
      <c r="I34" s="13">
        <f aca="true" t="shared" si="8" ref="I34:I41">(F34+H34)*12+G34*11</f>
        <v>163120.32</v>
      </c>
      <c r="J34" s="13">
        <f>I34*J8</f>
        <v>168013.9296</v>
      </c>
      <c r="K34" s="13">
        <f>J34*K8</f>
        <v>176750.6539392</v>
      </c>
      <c r="L34" s="13">
        <f>K34*L8</f>
        <v>185411.4359822208</v>
      </c>
      <c r="N34">
        <f aca="true" t="shared" si="9" ref="N34:N41">I34/B34/12</f>
        <v>6796.68</v>
      </c>
    </row>
    <row r="35" spans="1:14" ht="12.75">
      <c r="A35" s="15" t="s">
        <v>29</v>
      </c>
      <c r="B35" s="6">
        <v>1</v>
      </c>
      <c r="C35" s="13">
        <v>3080</v>
      </c>
      <c r="D35" s="13">
        <f>C35*B35*0.3</f>
        <v>924</v>
      </c>
      <c r="E35" s="13">
        <f>C35*B35*0.3</f>
        <v>924</v>
      </c>
      <c r="F35" s="16">
        <f>E35+D35+C35*B35</f>
        <v>4928</v>
      </c>
      <c r="G35" s="13">
        <f>F35*0.3</f>
        <v>1478.3999999999999</v>
      </c>
      <c r="H35" s="13">
        <f t="shared" si="7"/>
        <v>739.1999999999999</v>
      </c>
      <c r="I35" s="13">
        <f t="shared" si="8"/>
        <v>84268.79999999999</v>
      </c>
      <c r="J35" s="13">
        <f>I35*J8</f>
        <v>86796.86399999999</v>
      </c>
      <c r="K35" s="13">
        <f>J35*K8</f>
        <v>91310.300928</v>
      </c>
      <c r="L35" s="13">
        <f>K35*L8</f>
        <v>95784.50567347198</v>
      </c>
      <c r="N35">
        <f t="shared" si="9"/>
        <v>7022.399999999999</v>
      </c>
    </row>
    <row r="36" spans="1:14" ht="12.75">
      <c r="A36" s="15" t="s">
        <v>30</v>
      </c>
      <c r="B36" s="6">
        <v>1</v>
      </c>
      <c r="C36" s="13">
        <v>2981</v>
      </c>
      <c r="D36" s="13">
        <f aca="true" t="shared" si="10" ref="D36:D41">C36*B36*0.3</f>
        <v>894.3</v>
      </c>
      <c r="E36" s="13">
        <f aca="true" t="shared" si="11" ref="E36:E41">C36*B36*0.3</f>
        <v>894.3</v>
      </c>
      <c r="F36" s="16">
        <f aca="true" t="shared" si="12" ref="F36:F41">C36*B36+E36+D36</f>
        <v>4769.6</v>
      </c>
      <c r="G36" s="13">
        <f>F36*0.3</f>
        <v>1430.88</v>
      </c>
      <c r="H36" s="13">
        <f t="shared" si="7"/>
        <v>715.44</v>
      </c>
      <c r="I36" s="13">
        <f t="shared" si="8"/>
        <v>81560.16</v>
      </c>
      <c r="J36" s="13">
        <f>I36*J8</f>
        <v>84006.9648</v>
      </c>
      <c r="K36" s="13">
        <f>J36*K8</f>
        <v>88375.3269696</v>
      </c>
      <c r="L36" s="13">
        <f>K36*L8</f>
        <v>92705.7179911104</v>
      </c>
      <c r="N36">
        <f t="shared" si="9"/>
        <v>6796.68</v>
      </c>
    </row>
    <row r="37" spans="1:14" ht="12.75">
      <c r="A37" s="15" t="s">
        <v>31</v>
      </c>
      <c r="B37" s="6">
        <v>3</v>
      </c>
      <c r="C37" s="13">
        <v>2981</v>
      </c>
      <c r="D37" s="13">
        <f t="shared" si="10"/>
        <v>2682.9</v>
      </c>
      <c r="E37" s="13">
        <f t="shared" si="11"/>
        <v>2682.9</v>
      </c>
      <c r="F37" s="16">
        <f t="shared" si="12"/>
        <v>14308.8</v>
      </c>
      <c r="G37" s="13">
        <f>F37*0.3</f>
        <v>4292.639999999999</v>
      </c>
      <c r="H37" s="13">
        <f t="shared" si="7"/>
        <v>2146.3199999999997</v>
      </c>
      <c r="I37" s="13">
        <f t="shared" si="8"/>
        <v>244680.47999999998</v>
      </c>
      <c r="J37" s="13">
        <f>I37*J8</f>
        <v>252020.8944</v>
      </c>
      <c r="K37" s="13">
        <f>J37*K8</f>
        <v>265125.9809088</v>
      </c>
      <c r="L37" s="13">
        <f>K37*L8</f>
        <v>278117.15397333115</v>
      </c>
      <c r="N37">
        <f t="shared" si="9"/>
        <v>6796.679999999999</v>
      </c>
    </row>
    <row r="38" spans="1:14" ht="12.75">
      <c r="A38" s="15" t="s">
        <v>32</v>
      </c>
      <c r="B38" s="6">
        <v>2.5</v>
      </c>
      <c r="C38" s="13">
        <v>2981</v>
      </c>
      <c r="D38" s="13">
        <f t="shared" si="10"/>
        <v>2235.75</v>
      </c>
      <c r="E38" s="13">
        <f t="shared" si="11"/>
        <v>2235.75</v>
      </c>
      <c r="F38" s="16">
        <f t="shared" si="12"/>
        <v>11924</v>
      </c>
      <c r="G38" s="13">
        <f>F38*0.3</f>
        <v>3577.2</v>
      </c>
      <c r="H38" s="13">
        <f t="shared" si="7"/>
        <v>1788.6</v>
      </c>
      <c r="I38" s="13">
        <f t="shared" si="8"/>
        <v>203900.40000000002</v>
      </c>
      <c r="J38" s="13">
        <f>I38*J8</f>
        <v>210017.41200000004</v>
      </c>
      <c r="K38" s="13">
        <f>J38*K8</f>
        <v>220938.31742400007</v>
      </c>
      <c r="L38" s="13">
        <f>K38*L8</f>
        <v>231764.29497777607</v>
      </c>
      <c r="N38">
        <f t="shared" si="9"/>
        <v>6796.68</v>
      </c>
    </row>
    <row r="40" spans="1:14" ht="41.25" customHeight="1">
      <c r="A40" s="15" t="s">
        <v>34</v>
      </c>
      <c r="B40" s="6">
        <v>1</v>
      </c>
      <c r="C40" s="13">
        <v>3377</v>
      </c>
      <c r="D40" s="13">
        <f t="shared" si="10"/>
        <v>1013.0999999999999</v>
      </c>
      <c r="E40" s="13">
        <f t="shared" si="11"/>
        <v>1013.0999999999999</v>
      </c>
      <c r="F40" s="16">
        <f t="shared" si="12"/>
        <v>5403.200000000001</v>
      </c>
      <c r="G40" s="13">
        <f>F40*0.3</f>
        <v>1620.9600000000003</v>
      </c>
      <c r="H40" s="13">
        <f t="shared" si="7"/>
        <v>810.4800000000001</v>
      </c>
      <c r="I40" s="13">
        <f t="shared" si="8"/>
        <v>92394.72000000002</v>
      </c>
      <c r="J40" s="13">
        <f>I40*J8</f>
        <v>95166.56160000002</v>
      </c>
      <c r="K40" s="13">
        <f>J40*K8</f>
        <v>100115.22280320003</v>
      </c>
      <c r="L40" s="13">
        <f>K40*L8</f>
        <v>105020.86872055683</v>
      </c>
      <c r="N40">
        <f t="shared" si="9"/>
        <v>7699.560000000001</v>
      </c>
    </row>
    <row r="41" spans="1:14" ht="12.75">
      <c r="A41" s="15" t="s">
        <v>319</v>
      </c>
      <c r="B41" s="6"/>
      <c r="C41" s="13">
        <v>3250</v>
      </c>
      <c r="D41" s="13">
        <f t="shared" si="10"/>
        <v>0</v>
      </c>
      <c r="E41" s="13">
        <f t="shared" si="11"/>
        <v>0</v>
      </c>
      <c r="F41" s="16">
        <f t="shared" si="12"/>
        <v>0</v>
      </c>
      <c r="G41" s="13">
        <f>F41*0.3</f>
        <v>0</v>
      </c>
      <c r="H41" s="13">
        <f t="shared" si="7"/>
        <v>0</v>
      </c>
      <c r="I41" s="13">
        <f t="shared" si="8"/>
        <v>0</v>
      </c>
      <c r="J41" s="13">
        <f>I41*J8</f>
        <v>0</v>
      </c>
      <c r="K41" s="13">
        <f>J41*K8</f>
        <v>0</v>
      </c>
      <c r="L41" s="13">
        <f>K41*L8</f>
        <v>0</v>
      </c>
      <c r="N41" t="e">
        <f t="shared" si="9"/>
        <v>#DIV/0!</v>
      </c>
    </row>
    <row r="44" spans="1:12" s="1" customFormat="1" ht="12.75">
      <c r="A44" s="7" t="s">
        <v>37</v>
      </c>
      <c r="B44" s="8"/>
      <c r="C44" s="8"/>
      <c r="D44" s="8"/>
      <c r="E44" s="8"/>
      <c r="F44" s="12"/>
      <c r="G44" s="8"/>
      <c r="H44" s="8"/>
      <c r="I44" s="17">
        <f>SUM(I34:I43)</f>
        <v>869924.88</v>
      </c>
      <c r="J44" s="17">
        <f>SUM(J34:J43)</f>
        <v>896022.6264000001</v>
      </c>
      <c r="K44" s="17">
        <f>SUM(K34:K43)</f>
        <v>942615.8029728</v>
      </c>
      <c r="L44" s="17">
        <f>SUM(L34:L43)</f>
        <v>988803.9773184671</v>
      </c>
    </row>
    <row r="45" spans="1:12" s="1" customFormat="1" ht="12.75">
      <c r="A45" s="7" t="s">
        <v>479</v>
      </c>
      <c r="B45" s="8"/>
      <c r="C45" s="8"/>
      <c r="D45" s="8"/>
      <c r="E45" s="8"/>
      <c r="F45" s="12"/>
      <c r="G45" s="8"/>
      <c r="H45" s="8"/>
      <c r="I45" s="17"/>
      <c r="J45" s="17"/>
      <c r="K45" s="17"/>
      <c r="L45" s="17"/>
    </row>
    <row r="46" spans="1:14" ht="25.5">
      <c r="A46" s="15" t="s">
        <v>26</v>
      </c>
      <c r="B46" s="6">
        <v>3.5</v>
      </c>
      <c r="C46" s="13">
        <v>3080</v>
      </c>
      <c r="D46" s="13">
        <f aca="true" t="shared" si="13" ref="D46:D52">C46*B46*0.3</f>
        <v>3234</v>
      </c>
      <c r="E46" s="13">
        <f aca="true" t="shared" si="14" ref="E46:E52">C46*B46*0.3</f>
        <v>3234</v>
      </c>
      <c r="F46" s="16">
        <f aca="true" t="shared" si="15" ref="F46:F52">C46*B46+E46+D46</f>
        <v>17248</v>
      </c>
      <c r="G46" s="13">
        <f aca="true" t="shared" si="16" ref="G46:G52">F46*0.3</f>
        <v>5174.4</v>
      </c>
      <c r="H46" s="13">
        <f aca="true" t="shared" si="17" ref="H46:H52">F46*0.15</f>
        <v>2587.2</v>
      </c>
      <c r="I46" s="13">
        <f aca="true" t="shared" si="18" ref="I46:I52">(F46+H46)*12+G46*11</f>
        <v>294940.80000000005</v>
      </c>
      <c r="J46" s="13">
        <f>I46*J8</f>
        <v>303789.02400000003</v>
      </c>
      <c r="K46" s="13">
        <f>J46*K8</f>
        <v>319586.05324800004</v>
      </c>
      <c r="L46" s="13">
        <f>K46*L8</f>
        <v>335245.769857152</v>
      </c>
      <c r="N46">
        <f aca="true" t="shared" si="19" ref="N46:N52">I46/B46/12</f>
        <v>7022.4000000000015</v>
      </c>
    </row>
    <row r="47" spans="1:14" ht="12.75">
      <c r="A47" s="15" t="s">
        <v>27</v>
      </c>
      <c r="B47" s="6">
        <v>15.5</v>
      </c>
      <c r="C47" s="13">
        <v>2981</v>
      </c>
      <c r="D47" s="13">
        <f t="shared" si="13"/>
        <v>13861.65</v>
      </c>
      <c r="E47" s="13">
        <f t="shared" si="14"/>
        <v>13861.65</v>
      </c>
      <c r="F47" s="16">
        <f t="shared" si="15"/>
        <v>73928.8</v>
      </c>
      <c r="G47" s="13">
        <f t="shared" si="16"/>
        <v>22178.64</v>
      </c>
      <c r="H47" s="13">
        <f t="shared" si="17"/>
        <v>11089.32</v>
      </c>
      <c r="I47" s="13">
        <f t="shared" si="18"/>
        <v>1264182.48</v>
      </c>
      <c r="J47" s="13">
        <f>I47*J8</f>
        <v>1302107.9544</v>
      </c>
      <c r="K47" s="13">
        <f>J47*K8</f>
        <v>1369817.5680288</v>
      </c>
      <c r="L47" s="13">
        <f>K47*L8</f>
        <v>1436938.628862211</v>
      </c>
      <c r="N47">
        <f t="shared" si="19"/>
        <v>6796.68</v>
      </c>
    </row>
    <row r="48" spans="1:14" ht="12.75">
      <c r="A48" s="15" t="s">
        <v>317</v>
      </c>
      <c r="B48" s="6"/>
      <c r="C48" s="13">
        <v>3665</v>
      </c>
      <c r="D48" s="13">
        <f t="shared" si="13"/>
        <v>0</v>
      </c>
      <c r="E48" s="13">
        <f t="shared" si="14"/>
        <v>0</v>
      </c>
      <c r="F48" s="16">
        <f t="shared" si="15"/>
        <v>0</v>
      </c>
      <c r="G48" s="13">
        <f t="shared" si="16"/>
        <v>0</v>
      </c>
      <c r="H48" s="13">
        <f t="shared" si="17"/>
        <v>0</v>
      </c>
      <c r="I48" s="13">
        <f t="shared" si="18"/>
        <v>0</v>
      </c>
      <c r="J48" s="13">
        <f>I48*J8</f>
        <v>0</v>
      </c>
      <c r="K48" s="13">
        <f>J48*K8</f>
        <v>0</v>
      </c>
      <c r="L48" s="13">
        <f>K48*L8</f>
        <v>0</v>
      </c>
      <c r="N48" t="e">
        <f t="shared" si="19"/>
        <v>#DIV/0!</v>
      </c>
    </row>
    <row r="49" spans="1:14" ht="12.75">
      <c r="A49" s="15" t="s">
        <v>318</v>
      </c>
      <c r="B49" s="6">
        <v>4</v>
      </c>
      <c r="C49" s="13">
        <v>3878</v>
      </c>
      <c r="D49" s="13">
        <f t="shared" si="13"/>
        <v>4653.599999999999</v>
      </c>
      <c r="E49" s="13">
        <f t="shared" si="14"/>
        <v>4653.599999999999</v>
      </c>
      <c r="F49" s="16">
        <f t="shared" si="15"/>
        <v>24819.199999999997</v>
      </c>
      <c r="G49" s="13">
        <f t="shared" si="16"/>
        <v>7445.759999999998</v>
      </c>
      <c r="H49" s="13">
        <f t="shared" si="17"/>
        <v>3722.879999999999</v>
      </c>
      <c r="I49" s="13">
        <f t="shared" si="18"/>
        <v>424408.31999999995</v>
      </c>
      <c r="J49" s="13">
        <f>I49*J8</f>
        <v>437140.56959999993</v>
      </c>
      <c r="K49" s="13">
        <f>J49*K8</f>
        <v>459871.87921919994</v>
      </c>
      <c r="L49" s="13">
        <f>K49*L8</f>
        <v>482405.60130094073</v>
      </c>
      <c r="N49">
        <f t="shared" si="19"/>
        <v>8841.839999999998</v>
      </c>
    </row>
    <row r="50" spans="1:14" ht="25.5">
      <c r="A50" s="15" t="s">
        <v>33</v>
      </c>
      <c r="B50" s="6">
        <v>2.5</v>
      </c>
      <c r="C50" s="13">
        <v>2981</v>
      </c>
      <c r="D50" s="13">
        <f t="shared" si="13"/>
        <v>2235.75</v>
      </c>
      <c r="E50" s="13">
        <f t="shared" si="14"/>
        <v>2235.75</v>
      </c>
      <c r="F50" s="16">
        <f t="shared" si="15"/>
        <v>11924</v>
      </c>
      <c r="G50" s="13">
        <f t="shared" si="16"/>
        <v>3577.2</v>
      </c>
      <c r="H50" s="13">
        <f t="shared" si="17"/>
        <v>1788.6</v>
      </c>
      <c r="I50" s="13">
        <f t="shared" si="18"/>
        <v>203900.40000000002</v>
      </c>
      <c r="J50" s="13">
        <f>I50*J8</f>
        <v>210017.41200000004</v>
      </c>
      <c r="K50" s="13">
        <f>J50*K8</f>
        <v>220938.31742400007</v>
      </c>
      <c r="L50" s="13">
        <f>K50*L8</f>
        <v>231764.29497777607</v>
      </c>
      <c r="N50">
        <f t="shared" si="19"/>
        <v>6796.68</v>
      </c>
    </row>
    <row r="51" spans="1:14" ht="12.75">
      <c r="A51" s="15" t="s">
        <v>320</v>
      </c>
      <c r="B51" s="6">
        <v>0.5</v>
      </c>
      <c r="C51" s="13">
        <v>3080</v>
      </c>
      <c r="D51" s="13">
        <f t="shared" si="13"/>
        <v>462</v>
      </c>
      <c r="E51" s="13">
        <f t="shared" si="14"/>
        <v>462</v>
      </c>
      <c r="F51" s="16">
        <f t="shared" si="15"/>
        <v>2464</v>
      </c>
      <c r="G51" s="13">
        <f t="shared" si="16"/>
        <v>739.1999999999999</v>
      </c>
      <c r="H51" s="13">
        <f t="shared" si="17"/>
        <v>369.59999999999997</v>
      </c>
      <c r="I51" s="13">
        <f t="shared" si="18"/>
        <v>42134.399999999994</v>
      </c>
      <c r="J51" s="13">
        <f>I51*J8</f>
        <v>43398.43199999999</v>
      </c>
      <c r="K51" s="13">
        <f>J51*K8</f>
        <v>45655.150464</v>
      </c>
      <c r="L51" s="13">
        <f>K51*L8</f>
        <v>47892.25283673599</v>
      </c>
      <c r="N51">
        <f t="shared" si="19"/>
        <v>7022.399999999999</v>
      </c>
    </row>
    <row r="52" spans="1:14" ht="12.75">
      <c r="A52" s="15" t="s">
        <v>35</v>
      </c>
      <c r="B52" s="6">
        <v>1</v>
      </c>
      <c r="C52" s="13">
        <v>3080</v>
      </c>
      <c r="D52" s="13">
        <f t="shared" si="13"/>
        <v>924</v>
      </c>
      <c r="E52" s="13">
        <f t="shared" si="14"/>
        <v>924</v>
      </c>
      <c r="F52" s="16">
        <f t="shared" si="15"/>
        <v>4928</v>
      </c>
      <c r="G52" s="13">
        <f t="shared" si="16"/>
        <v>1478.3999999999999</v>
      </c>
      <c r="H52" s="13">
        <f t="shared" si="17"/>
        <v>739.1999999999999</v>
      </c>
      <c r="I52" s="13">
        <f t="shared" si="18"/>
        <v>84268.79999999999</v>
      </c>
      <c r="J52" s="13">
        <f>I52*J8</f>
        <v>86796.86399999999</v>
      </c>
      <c r="K52" s="13">
        <f>J52*K8</f>
        <v>91310.300928</v>
      </c>
      <c r="L52" s="13">
        <f>K52*L8</f>
        <v>95784.50567347198</v>
      </c>
      <c r="N52">
        <f t="shared" si="19"/>
        <v>7022.399999999999</v>
      </c>
    </row>
    <row r="53" spans="1:12" ht="12.75">
      <c r="A53" s="6" t="s">
        <v>480</v>
      </c>
      <c r="B53" s="6"/>
      <c r="C53" s="6"/>
      <c r="D53" s="6"/>
      <c r="E53" s="6"/>
      <c r="F53" s="6"/>
      <c r="G53" s="6"/>
      <c r="H53" s="6"/>
      <c r="I53" s="6"/>
      <c r="J53" s="13">
        <f>J46+J47+J48+J49+J50+J51+J52</f>
        <v>2383250.256</v>
      </c>
      <c r="K53" s="6"/>
      <c r="L53" s="6"/>
    </row>
    <row r="54" spans="1:12" s="1" customFormat="1" ht="12.75">
      <c r="A54" s="8" t="s">
        <v>36</v>
      </c>
      <c r="B54" s="8"/>
      <c r="C54" s="8"/>
      <c r="D54" s="8"/>
      <c r="E54" s="8"/>
      <c r="F54" s="8"/>
      <c r="G54" s="8"/>
      <c r="H54" s="8"/>
      <c r="I54" s="17">
        <f>SUM(I16+I22+I27+I44)</f>
        <v>4802541.84</v>
      </c>
      <c r="J54" s="17">
        <f>SUM(J16+J22+J27+J44)</f>
        <v>4946618.0952</v>
      </c>
      <c r="K54" s="17">
        <f>SUM(K16+K22+K27+K44)</f>
        <v>5203842.2361504</v>
      </c>
      <c r="L54" s="17">
        <f>SUM(L16+L22+L27+L44)</f>
        <v>5458830.505721768</v>
      </c>
    </row>
    <row r="56" ht="12.75">
      <c r="B56">
        <f>B10+B11+B12+B13+B14+B15+B19+B20+B21+B25+B26+B46+B47+B48+B49+B34+B35+B36+B37+B38+B50+B40+B41+B51+B52</f>
        <v>70.5</v>
      </c>
    </row>
  </sheetData>
  <sheetProtection/>
  <mergeCells count="12">
    <mergeCell ref="I6:I8"/>
    <mergeCell ref="H6:H8"/>
    <mergeCell ref="A1:D1"/>
    <mergeCell ref="G6:G8"/>
    <mergeCell ref="B6:B8"/>
    <mergeCell ref="A6:A8"/>
    <mergeCell ref="A3:L3"/>
    <mergeCell ref="F6:F8"/>
    <mergeCell ref="E6:E8"/>
    <mergeCell ref="D6:D8"/>
    <mergeCell ref="C6:C8"/>
    <mergeCell ref="J7:L7"/>
  </mergeCells>
  <printOptions/>
  <pageMargins left="0" right="0" top="0" bottom="0" header="0" footer="0"/>
  <pageSetup horizontalDpi="600" verticalDpi="6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26.57421875" style="0" customWidth="1"/>
    <col min="2" max="2" width="15.7109375" style="0" customWidth="1"/>
    <col min="3" max="3" width="11.57421875" style="0" bestFit="1" customWidth="1"/>
    <col min="4" max="9" width="10.57421875" style="0" bestFit="1" customWidth="1"/>
  </cols>
  <sheetData>
    <row r="1" spans="1:4" ht="15">
      <c r="A1" s="243" t="s">
        <v>271</v>
      </c>
      <c r="B1" s="243"/>
      <c r="C1" s="243"/>
      <c r="D1" s="243"/>
    </row>
    <row r="3" spans="1:9" ht="15.75">
      <c r="A3" s="253" t="s">
        <v>39</v>
      </c>
      <c r="B3" s="253"/>
      <c r="C3" s="253"/>
      <c r="D3" s="253"/>
      <c r="E3" s="253"/>
      <c r="F3" s="253"/>
      <c r="G3" s="253"/>
      <c r="H3" s="253"/>
      <c r="I3" s="253"/>
    </row>
    <row r="5" spans="1:4" ht="15">
      <c r="A5" s="243"/>
      <c r="B5" s="243"/>
      <c r="C5" s="243"/>
      <c r="D5" s="243"/>
    </row>
    <row r="6" spans="1:9" ht="18" customHeight="1">
      <c r="A6" s="244" t="s">
        <v>0</v>
      </c>
      <c r="B6" s="250" t="s">
        <v>41</v>
      </c>
      <c r="C6" s="246"/>
      <c r="D6" s="246"/>
      <c r="E6" s="247"/>
      <c r="F6" s="254" t="s">
        <v>42</v>
      </c>
      <c r="G6" s="254"/>
      <c r="H6" s="254"/>
      <c r="I6" s="254"/>
    </row>
    <row r="7" spans="1:9" s="1" customFormat="1" ht="23.25" customHeight="1">
      <c r="A7" s="244"/>
      <c r="B7" s="3" t="s">
        <v>40</v>
      </c>
      <c r="C7" s="4" t="s">
        <v>11</v>
      </c>
      <c r="D7" s="4" t="s">
        <v>12</v>
      </c>
      <c r="E7" s="4" t="s">
        <v>10</v>
      </c>
      <c r="F7" s="3" t="s">
        <v>40</v>
      </c>
      <c r="G7" s="4" t="s">
        <v>11</v>
      </c>
      <c r="H7" s="4" t="s">
        <v>12</v>
      </c>
      <c r="I7" s="4" t="s">
        <v>10</v>
      </c>
    </row>
    <row r="8" spans="1:9" s="1" customFormat="1" ht="12.75">
      <c r="A8" s="2" t="s">
        <v>1</v>
      </c>
      <c r="B8" s="5"/>
      <c r="C8" s="8"/>
      <c r="D8" s="8"/>
      <c r="E8" s="8"/>
      <c r="F8" s="8"/>
      <c r="G8" s="8"/>
      <c r="H8" s="8"/>
      <c r="I8" s="8"/>
    </row>
    <row r="9" spans="1:9" ht="12.75">
      <c r="A9" s="6" t="s">
        <v>17</v>
      </c>
      <c r="B9" s="13">
        <f>'[3]Зар. плата'!I10</f>
        <v>2999769.864</v>
      </c>
      <c r="C9" s="13">
        <f>'[3]Зар. плата'!J10</f>
        <v>3185755.5955680003</v>
      </c>
      <c r="D9" s="13">
        <f>'[3]Зар. плата'!K10</f>
        <v>3351414.8865375365</v>
      </c>
      <c r="E9" s="13">
        <f aca="true" t="shared" si="0" ref="E9:E14">D9*1.049</f>
        <v>3515634.2159778755</v>
      </c>
      <c r="F9" s="13">
        <f aca="true" t="shared" si="1" ref="F9:I14">B9*30.2%</f>
        <v>905930.498928</v>
      </c>
      <c r="G9" s="13">
        <f t="shared" si="1"/>
        <v>962098.189861536</v>
      </c>
      <c r="H9" s="13">
        <f t="shared" si="1"/>
        <v>1012127.295734336</v>
      </c>
      <c r="I9" s="13">
        <f t="shared" si="1"/>
        <v>1061721.5332253184</v>
      </c>
    </row>
    <row r="10" spans="1:9" ht="12.75">
      <c r="A10" s="6" t="s">
        <v>18</v>
      </c>
      <c r="B10" s="13">
        <f>'[3]Зар. плата'!I11</f>
        <v>178894.8</v>
      </c>
      <c r="C10" s="13">
        <f>'[3]Зар. плата'!J11</f>
        <v>189986.2776</v>
      </c>
      <c r="D10" s="13">
        <f>'[3]Зар. плата'!K11</f>
        <v>199865.56403520002</v>
      </c>
      <c r="E10" s="13">
        <f t="shared" si="0"/>
        <v>209658.9766729248</v>
      </c>
      <c r="F10" s="13">
        <f t="shared" si="1"/>
        <v>54026.22959999999</v>
      </c>
      <c r="G10" s="13">
        <f t="shared" si="1"/>
        <v>57375.8558352</v>
      </c>
      <c r="H10" s="13">
        <f t="shared" si="1"/>
        <v>60359.4003386304</v>
      </c>
      <c r="I10" s="13">
        <f t="shared" si="1"/>
        <v>63317.01095522328</v>
      </c>
    </row>
    <row r="11" spans="1:9" ht="12.75">
      <c r="A11" s="6" t="s">
        <v>19</v>
      </c>
      <c r="B11" s="13">
        <f>'[3]Зар. плата'!I12</f>
        <v>443593.92000000004</v>
      </c>
      <c r="C11" s="13">
        <f>'[3]Зар. плата'!J12</f>
        <v>471096.7430400001</v>
      </c>
      <c r="D11" s="13">
        <f>'[3]Зар. плата'!K12</f>
        <v>495593.7736780801</v>
      </c>
      <c r="E11" s="13">
        <f t="shared" si="0"/>
        <v>519877.868588306</v>
      </c>
      <c r="F11" s="13">
        <f t="shared" si="1"/>
        <v>133965.36384</v>
      </c>
      <c r="G11" s="13">
        <f t="shared" si="1"/>
        <v>142271.21639808003</v>
      </c>
      <c r="H11" s="13">
        <f t="shared" si="1"/>
        <v>149669.3196507802</v>
      </c>
      <c r="I11" s="13">
        <f t="shared" si="1"/>
        <v>157003.1163136684</v>
      </c>
    </row>
    <row r="12" spans="1:9" ht="12.75">
      <c r="A12" s="6" t="s">
        <v>20</v>
      </c>
      <c r="B12" s="13">
        <f>'[3]Зар. плата'!I13</f>
        <v>128441.20800000001</v>
      </c>
      <c r="C12" s="13">
        <f>'[3]Зар. плата'!J13</f>
        <v>136404.56289600002</v>
      </c>
      <c r="D12" s="13">
        <f>'[3]Зар. плата'!K13</f>
        <v>143497.60016659202</v>
      </c>
      <c r="E12" s="13">
        <f t="shared" si="0"/>
        <v>150528.982574755</v>
      </c>
      <c r="F12" s="13">
        <f t="shared" si="1"/>
        <v>38789.244816000006</v>
      </c>
      <c r="G12" s="13">
        <f t="shared" si="1"/>
        <v>41194.177994592006</v>
      </c>
      <c r="H12" s="13">
        <f t="shared" si="1"/>
        <v>43336.27525031079</v>
      </c>
      <c r="I12" s="13">
        <f t="shared" si="1"/>
        <v>45459.75273757601</v>
      </c>
    </row>
    <row r="13" spans="1:9" ht="12.75">
      <c r="A13" s="6" t="s">
        <v>315</v>
      </c>
      <c r="B13" s="13">
        <f>'[3]Зар. плата'!I14</f>
        <v>177868.488</v>
      </c>
      <c r="C13" s="13">
        <f>'[3]Зар. плата'!J14</f>
        <v>188896.33425600003</v>
      </c>
      <c r="D13" s="13">
        <f>'[3]Зар. плата'!K14</f>
        <v>198718.94363731204</v>
      </c>
      <c r="E13" s="13">
        <f t="shared" si="0"/>
        <v>208456.1718755403</v>
      </c>
      <c r="F13" s="13">
        <f t="shared" si="1"/>
        <v>53716.283376</v>
      </c>
      <c r="G13" s="13">
        <f t="shared" si="1"/>
        <v>57046.69294531201</v>
      </c>
      <c r="H13" s="13">
        <f t="shared" si="1"/>
        <v>60013.120978468236</v>
      </c>
      <c r="I13" s="13">
        <f t="shared" si="1"/>
        <v>62953.76390641317</v>
      </c>
    </row>
    <row r="14" spans="1:9" ht="12.75">
      <c r="A14" s="6" t="s">
        <v>21</v>
      </c>
      <c r="B14" s="13">
        <f>'[3]Зар. плата'!I15</f>
        <v>529598.328</v>
      </c>
      <c r="C14" s="13">
        <f>'[3]Зар. плата'!J15</f>
        <v>562433.424336</v>
      </c>
      <c r="D14" s="13">
        <f>'[3]Зар. плата'!K15</f>
        <v>591679.962401472</v>
      </c>
      <c r="E14" s="13">
        <f t="shared" si="0"/>
        <v>620672.2805591441</v>
      </c>
      <c r="F14" s="13">
        <f t="shared" si="1"/>
        <v>159938.695056</v>
      </c>
      <c r="G14" s="13">
        <f t="shared" si="1"/>
        <v>169854.894149472</v>
      </c>
      <c r="H14" s="13">
        <f t="shared" si="1"/>
        <v>178687.34864524455</v>
      </c>
      <c r="I14" s="13">
        <f t="shared" si="1"/>
        <v>187443.0287288615</v>
      </c>
    </row>
    <row r="15" spans="1:9" s="1" customFormat="1" ht="12.75">
      <c r="A15" s="7" t="s">
        <v>37</v>
      </c>
      <c r="B15" s="17">
        <f aca="true" t="shared" si="2" ref="B15:I15">SUM(B9:B14)</f>
        <v>4458166.608</v>
      </c>
      <c r="C15" s="17">
        <f t="shared" si="2"/>
        <v>4734572.937696001</v>
      </c>
      <c r="D15" s="17">
        <f t="shared" si="2"/>
        <v>4980770.730456193</v>
      </c>
      <c r="E15" s="17">
        <f t="shared" si="2"/>
        <v>5224828.496248546</v>
      </c>
      <c r="F15" s="17">
        <f t="shared" si="2"/>
        <v>1346366.315616</v>
      </c>
      <c r="G15" s="17">
        <f t="shared" si="2"/>
        <v>1429841.0271841923</v>
      </c>
      <c r="H15" s="17">
        <f t="shared" si="2"/>
        <v>1504192.76059777</v>
      </c>
      <c r="I15" s="17">
        <f t="shared" si="2"/>
        <v>1577898.205867061</v>
      </c>
    </row>
    <row r="16" spans="1:9" ht="12.75">
      <c r="A16" s="6"/>
      <c r="B16" s="13"/>
      <c r="C16" s="13"/>
      <c r="D16" s="13"/>
      <c r="E16" s="13"/>
      <c r="F16" s="13"/>
      <c r="G16" s="13"/>
      <c r="H16" s="13"/>
      <c r="I16" s="13"/>
    </row>
    <row r="17" spans="1:9" ht="12.75">
      <c r="A17" s="14" t="s">
        <v>15</v>
      </c>
      <c r="B17" s="13"/>
      <c r="C17" s="13"/>
      <c r="D17" s="13"/>
      <c r="E17" s="13"/>
      <c r="F17" s="13"/>
      <c r="G17" s="13"/>
      <c r="H17" s="13"/>
      <c r="I17" s="13"/>
    </row>
    <row r="18" spans="1:9" ht="12.75">
      <c r="A18" s="6" t="s">
        <v>22</v>
      </c>
      <c r="B18" s="13">
        <f>'[3]Зар. плата'!I19</f>
        <v>432180.672</v>
      </c>
      <c r="C18" s="13">
        <f>'[3]Зар. плата'!J19</f>
        <v>458975.8736640001</v>
      </c>
      <c r="D18" s="13">
        <f>'[3]Зар. плата'!K19</f>
        <v>482842.6190945281</v>
      </c>
      <c r="E18" s="13">
        <f>D18*1.049</f>
        <v>506501.9074301599</v>
      </c>
      <c r="F18" s="13">
        <f aca="true" t="shared" si="3" ref="F18:I20">B18*30.2%</f>
        <v>130518.562944</v>
      </c>
      <c r="G18" s="13">
        <f t="shared" si="3"/>
        <v>138610.71384652803</v>
      </c>
      <c r="H18" s="13">
        <f t="shared" si="3"/>
        <v>145818.47096654747</v>
      </c>
      <c r="I18" s="13">
        <f t="shared" si="3"/>
        <v>152963.57604390828</v>
      </c>
    </row>
    <row r="19" spans="1:9" ht="12.75">
      <c r="A19" s="6" t="s">
        <v>23</v>
      </c>
      <c r="B19" s="13">
        <f>'[3]Зар. плата'!I20</f>
        <v>427858.87200000003</v>
      </c>
      <c r="C19" s="13">
        <f>'[3]Зар. плата'!J20</f>
        <v>454386.12206400005</v>
      </c>
      <c r="D19" s="13">
        <f>'[3]Зар. плата'!K20</f>
        <v>478014.20041132806</v>
      </c>
      <c r="E19" s="13">
        <f>D19*1.049</f>
        <v>501436.8962314831</v>
      </c>
      <c r="F19" s="13">
        <f t="shared" si="3"/>
        <v>129213.379344</v>
      </c>
      <c r="G19" s="13">
        <f t="shared" si="3"/>
        <v>137224.608863328</v>
      </c>
      <c r="H19" s="13">
        <f t="shared" si="3"/>
        <v>144360.28852422108</v>
      </c>
      <c r="I19" s="13">
        <f t="shared" si="3"/>
        <v>151433.94266190787</v>
      </c>
    </row>
    <row r="20" spans="1:9" ht="12.75">
      <c r="A20" s="6" t="s">
        <v>316</v>
      </c>
      <c r="B20" s="13">
        <f>'[3]Зар. плата'!I21</f>
        <v>263074.56</v>
      </c>
      <c r="C20" s="13">
        <f>'[3]Зар. плата'!J21</f>
        <v>279385.18272000004</v>
      </c>
      <c r="D20" s="13">
        <f>'[3]Зар. плата'!K21</f>
        <v>293913.21222144004</v>
      </c>
      <c r="E20" s="13">
        <f>D20*1.049</f>
        <v>308314.9596202906</v>
      </c>
      <c r="F20" s="13">
        <f t="shared" si="3"/>
        <v>79448.51712</v>
      </c>
      <c r="G20" s="13">
        <f t="shared" si="3"/>
        <v>84374.32518144001</v>
      </c>
      <c r="H20" s="13">
        <f t="shared" si="3"/>
        <v>88761.79009087489</v>
      </c>
      <c r="I20" s="13">
        <f t="shared" si="3"/>
        <v>93111.11780532775</v>
      </c>
    </row>
    <row r="21" spans="1:9" s="1" customFormat="1" ht="12.75">
      <c r="A21" s="7" t="s">
        <v>37</v>
      </c>
      <c r="B21" s="17">
        <f aca="true" t="shared" si="4" ref="B21:I21">SUM(B18:B20)</f>
        <v>1123114.104</v>
      </c>
      <c r="C21" s="17">
        <f t="shared" si="4"/>
        <v>1192747.178448</v>
      </c>
      <c r="D21" s="17">
        <f t="shared" si="4"/>
        <v>1254770.0317272963</v>
      </c>
      <c r="E21" s="17">
        <f t="shared" si="4"/>
        <v>1316253.7632819337</v>
      </c>
      <c r="F21" s="17">
        <f t="shared" si="4"/>
        <v>339180.459408</v>
      </c>
      <c r="G21" s="17">
        <f t="shared" si="4"/>
        <v>360209.6478912961</v>
      </c>
      <c r="H21" s="17">
        <f t="shared" si="4"/>
        <v>378940.5495816434</v>
      </c>
      <c r="I21" s="17">
        <f t="shared" si="4"/>
        <v>397508.6365111439</v>
      </c>
    </row>
    <row r="22" spans="1:9" ht="12.75">
      <c r="A22" s="6"/>
      <c r="B22" s="13"/>
      <c r="C22" s="13"/>
      <c r="D22" s="13"/>
      <c r="E22" s="13"/>
      <c r="F22" s="13"/>
      <c r="G22" s="13"/>
      <c r="H22" s="13"/>
      <c r="I22" s="13"/>
    </row>
    <row r="23" spans="1:9" ht="12.75">
      <c r="A23" s="14" t="s">
        <v>14</v>
      </c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6" t="s">
        <v>24</v>
      </c>
      <c r="B24" s="13">
        <f>'[3]Зар. плата'!I25</f>
        <v>72844.79999999999</v>
      </c>
      <c r="C24" s="13">
        <f>'[3]Зар. плата'!J25</f>
        <v>77361.1776</v>
      </c>
      <c r="D24" s="13">
        <f>'[3]Зар. плата'!K25</f>
        <v>81383.9588352</v>
      </c>
      <c r="E24" s="13">
        <f>D24*1.049</f>
        <v>85371.7728181248</v>
      </c>
      <c r="F24" s="13">
        <f>B24*30.2%</f>
        <v>21999.129599999997</v>
      </c>
      <c r="G24" s="13">
        <f>C24*30.2%</f>
        <v>23363.0756352</v>
      </c>
      <c r="H24" s="13">
        <f>D24*30.2%</f>
        <v>24577.955568230398</v>
      </c>
      <c r="I24" s="13">
        <f>E24*30.2%</f>
        <v>25782.275391073686</v>
      </c>
    </row>
    <row r="25" spans="1:9" ht="12.75">
      <c r="A25" s="6" t="s">
        <v>25</v>
      </c>
      <c r="B25" s="13">
        <f>'[3]Зар. плата'!I26</f>
        <v>54633.600000000006</v>
      </c>
      <c r="C25" s="13">
        <f>'[3]Зар. плата'!J26</f>
        <v>58020.88320000001</v>
      </c>
      <c r="D25" s="13">
        <f>'[3]Зар. плата'!K26</f>
        <v>61037.969126400014</v>
      </c>
      <c r="E25" s="13">
        <f>D25*1.049</f>
        <v>64028.82961359361</v>
      </c>
      <c r="F25" s="13">
        <f aca="true" t="shared" si="5" ref="F25:I42">B25*30.2%</f>
        <v>16499.3472</v>
      </c>
      <c r="G25" s="13">
        <f t="shared" si="5"/>
        <v>17522.306726400002</v>
      </c>
      <c r="H25" s="13">
        <f t="shared" si="5"/>
        <v>18433.466676172804</v>
      </c>
      <c r="I25" s="13">
        <f t="shared" si="5"/>
        <v>19336.70654330527</v>
      </c>
    </row>
    <row r="26" spans="1:9" s="1" customFormat="1" ht="12.75">
      <c r="A26" s="7" t="s">
        <v>37</v>
      </c>
      <c r="B26" s="17">
        <f aca="true" t="shared" si="6" ref="B26:I26">SUM(B24:B25)</f>
        <v>127478.4</v>
      </c>
      <c r="C26" s="17">
        <f t="shared" si="6"/>
        <v>135382.0608</v>
      </c>
      <c r="D26" s="17">
        <f t="shared" si="6"/>
        <v>142421.9279616</v>
      </c>
      <c r="E26" s="17">
        <f t="shared" si="6"/>
        <v>149400.6024317184</v>
      </c>
      <c r="F26" s="17">
        <f t="shared" si="6"/>
        <v>38498.4768</v>
      </c>
      <c r="G26" s="17">
        <f t="shared" si="6"/>
        <v>40885.3823616</v>
      </c>
      <c r="H26" s="17">
        <f t="shared" si="6"/>
        <v>43011.422244403206</v>
      </c>
      <c r="I26" s="17">
        <f t="shared" si="6"/>
        <v>45118.98193437896</v>
      </c>
    </row>
    <row r="27" spans="1:9" ht="12.75">
      <c r="A27" s="6"/>
      <c r="B27" s="13"/>
      <c r="C27" s="13"/>
      <c r="D27" s="13"/>
      <c r="E27" s="13"/>
      <c r="F27" s="13"/>
      <c r="G27" s="13"/>
      <c r="H27" s="13"/>
      <c r="I27" s="13"/>
    </row>
    <row r="28" spans="1:9" ht="12.75">
      <c r="A28" s="14" t="s">
        <v>16</v>
      </c>
      <c r="B28" s="13"/>
      <c r="C28" s="13"/>
      <c r="D28" s="13"/>
      <c r="E28" s="13"/>
      <c r="F28" s="13"/>
      <c r="G28" s="13"/>
      <c r="H28" s="13"/>
      <c r="I28" s="13"/>
    </row>
    <row r="29" spans="1:9" ht="27.75" customHeight="1">
      <c r="A29" s="15" t="s">
        <v>26</v>
      </c>
      <c r="B29" s="13">
        <f>'[3]Зар. плата'!I30</f>
        <v>281299.19999999995</v>
      </c>
      <c r="C29" s="13">
        <f>'[3]Зар. плата'!J30</f>
        <v>298739.75039999996</v>
      </c>
      <c r="D29" s="13">
        <f>'[3]Зар. плата'!K30</f>
        <v>314274.21742079995</v>
      </c>
      <c r="E29" s="13">
        <f>D29*1.049</f>
        <v>329673.6540744191</v>
      </c>
      <c r="F29" s="13">
        <f t="shared" si="5"/>
        <v>84952.35839999998</v>
      </c>
      <c r="G29" s="13">
        <f t="shared" si="5"/>
        <v>90219.40462079998</v>
      </c>
      <c r="H29" s="13">
        <f t="shared" si="5"/>
        <v>94910.81366108159</v>
      </c>
      <c r="I29" s="13">
        <f t="shared" si="5"/>
        <v>99561.44353047457</v>
      </c>
    </row>
    <row r="30" spans="1:9" ht="12.75">
      <c r="A30" s="15" t="s">
        <v>27</v>
      </c>
      <c r="B30" s="13">
        <f>'[3]Зар. плата'!I31</f>
        <v>552892.0319999999</v>
      </c>
      <c r="C30" s="13">
        <f>'[3]Зар. плата'!J31</f>
        <v>587171.3379839999</v>
      </c>
      <c r="D30" s="13">
        <f>'[3]Зар. плата'!K31</f>
        <v>617704.2475591679</v>
      </c>
      <c r="E30" s="13">
        <f aca="true" t="shared" si="7" ref="E30:E39">D30*1.049</f>
        <v>647971.7556895671</v>
      </c>
      <c r="F30" s="13">
        <f t="shared" si="5"/>
        <v>166973.39366399997</v>
      </c>
      <c r="G30" s="13">
        <f t="shared" si="5"/>
        <v>177325.74407116795</v>
      </c>
      <c r="H30" s="13">
        <f t="shared" si="5"/>
        <v>186546.6827628687</v>
      </c>
      <c r="I30" s="13">
        <f t="shared" si="5"/>
        <v>195687.47021824925</v>
      </c>
    </row>
    <row r="31" spans="1:9" ht="12.75">
      <c r="A31" s="15" t="s">
        <v>317</v>
      </c>
      <c r="B31" s="13">
        <f>'[3]Зар. плата'!I32</f>
        <v>113292.48000000001</v>
      </c>
      <c r="C31" s="13">
        <f>'[3]Зар. плата'!J32</f>
        <v>120316.61376000002</v>
      </c>
      <c r="D31" s="13">
        <f>'[3]Зар. плата'!K32</f>
        <v>126573.07767552003</v>
      </c>
      <c r="E31" s="13">
        <f t="shared" si="7"/>
        <v>132775.1584816205</v>
      </c>
      <c r="F31" s="13">
        <f t="shared" si="5"/>
        <v>34214.32896</v>
      </c>
      <c r="G31" s="13">
        <f t="shared" si="5"/>
        <v>36335.61735552001</v>
      </c>
      <c r="H31" s="13">
        <f t="shared" si="5"/>
        <v>38225.06945800705</v>
      </c>
      <c r="I31" s="13">
        <f t="shared" si="5"/>
        <v>40098.097861449394</v>
      </c>
    </row>
    <row r="32" spans="1:9" ht="12.75">
      <c r="A32" s="15" t="s">
        <v>318</v>
      </c>
      <c r="B32" s="13">
        <f>'[3]Зар. плата'!I33</f>
        <v>435859.19999999995</v>
      </c>
      <c r="C32" s="13">
        <f>'[3]Зар. плата'!J33</f>
        <v>462882.4704</v>
      </c>
      <c r="D32" s="13">
        <f>'[3]Зар. плата'!K33</f>
        <v>486952.3588608</v>
      </c>
      <c r="E32" s="13">
        <f t="shared" si="7"/>
        <v>510813.02444497915</v>
      </c>
      <c r="F32" s="13">
        <f t="shared" si="5"/>
        <v>131629.4784</v>
      </c>
      <c r="G32" s="13">
        <f t="shared" si="5"/>
        <v>139790.5060608</v>
      </c>
      <c r="H32" s="13">
        <f t="shared" si="5"/>
        <v>147059.6123759616</v>
      </c>
      <c r="I32" s="13">
        <f t="shared" si="5"/>
        <v>154265.5333823837</v>
      </c>
    </row>
    <row r="33" spans="1:9" ht="12.75">
      <c r="A33" s="15" t="s">
        <v>28</v>
      </c>
      <c r="B33" s="13">
        <f>'[3]Зар. плата'!I34</f>
        <v>145689.59999999998</v>
      </c>
      <c r="C33" s="13">
        <f>'[3]Зар. плата'!J34</f>
        <v>154722.3552</v>
      </c>
      <c r="D33" s="13">
        <f>'[3]Зар. плата'!K34</f>
        <v>162767.9176704</v>
      </c>
      <c r="E33" s="13">
        <f t="shared" si="7"/>
        <v>170743.5456362496</v>
      </c>
      <c r="F33" s="13">
        <f t="shared" si="5"/>
        <v>43998.25919999999</v>
      </c>
      <c r="G33" s="13">
        <f t="shared" si="5"/>
        <v>46726.1512704</v>
      </c>
      <c r="H33" s="13">
        <f t="shared" si="5"/>
        <v>49155.911136460796</v>
      </c>
      <c r="I33" s="13">
        <f t="shared" si="5"/>
        <v>51564.55078214737</v>
      </c>
    </row>
    <row r="34" spans="1:9" ht="12.75">
      <c r="A34" s="15" t="s">
        <v>29</v>
      </c>
      <c r="B34" s="13">
        <f>'[3]Зар. плата'!I35</f>
        <v>131712</v>
      </c>
      <c r="C34" s="13">
        <f>'[3]Зар. плата'!J35</f>
        <v>139878.144</v>
      </c>
      <c r="D34" s="13">
        <f>'[3]Зар. плата'!K35</f>
        <v>147151.80748800002</v>
      </c>
      <c r="E34" s="13">
        <f t="shared" si="7"/>
        <v>154362.24605491202</v>
      </c>
      <c r="F34" s="13">
        <f t="shared" si="5"/>
        <v>39777.024</v>
      </c>
      <c r="G34" s="13">
        <f t="shared" si="5"/>
        <v>42243.199488</v>
      </c>
      <c r="H34" s="13">
        <f t="shared" si="5"/>
        <v>44439.845861376</v>
      </c>
      <c r="I34" s="13">
        <f t="shared" si="5"/>
        <v>46617.398308583426</v>
      </c>
    </row>
    <row r="35" spans="1:9" ht="12.75">
      <c r="A35" s="15" t="s">
        <v>30</v>
      </c>
      <c r="B35" s="13">
        <f>'[3]Зар. плата'!I36</f>
        <v>72844.79999999999</v>
      </c>
      <c r="C35" s="13">
        <f>'[3]Зар. плата'!J36</f>
        <v>77361.1776</v>
      </c>
      <c r="D35" s="13">
        <f>'[3]Зар. плата'!K36</f>
        <v>81383.9588352</v>
      </c>
      <c r="E35" s="13">
        <f t="shared" si="7"/>
        <v>85371.7728181248</v>
      </c>
      <c r="F35" s="13">
        <f t="shared" si="5"/>
        <v>21999.129599999997</v>
      </c>
      <c r="G35" s="13">
        <f t="shared" si="5"/>
        <v>23363.0756352</v>
      </c>
      <c r="H35" s="13">
        <f t="shared" si="5"/>
        <v>24577.955568230398</v>
      </c>
      <c r="I35" s="13">
        <f t="shared" si="5"/>
        <v>25782.275391073686</v>
      </c>
    </row>
    <row r="36" spans="1:9" ht="12.75">
      <c r="A36" s="15" t="s">
        <v>31</v>
      </c>
      <c r="B36" s="13">
        <f>'[3]Зар. плата'!I37</f>
        <v>256015.36800000002</v>
      </c>
      <c r="C36" s="13">
        <f>'[3]Зар. плата'!J37</f>
        <v>271888.32081600005</v>
      </c>
      <c r="D36" s="13">
        <f>'[3]Зар. плата'!K37</f>
        <v>286026.51349843206</v>
      </c>
      <c r="E36" s="13">
        <f t="shared" si="7"/>
        <v>300041.81265985523</v>
      </c>
      <c r="F36" s="13">
        <f t="shared" si="5"/>
        <v>77316.641136</v>
      </c>
      <c r="G36" s="13">
        <f t="shared" si="5"/>
        <v>82110.27288643201</v>
      </c>
      <c r="H36" s="13">
        <f t="shared" si="5"/>
        <v>86380.00707652648</v>
      </c>
      <c r="I36" s="13">
        <f t="shared" si="5"/>
        <v>90612.62742327628</v>
      </c>
    </row>
    <row r="37" spans="1:9" ht="12.75">
      <c r="A37" s="15" t="s">
        <v>32</v>
      </c>
      <c r="B37" s="13">
        <f>'[3]Зар. плата'!I38</f>
        <v>145689.59999999998</v>
      </c>
      <c r="C37" s="13">
        <f>'[3]Зар. плата'!J38</f>
        <v>154722.3552</v>
      </c>
      <c r="D37" s="13">
        <f>'[3]Зар. плата'!K38</f>
        <v>162767.9176704</v>
      </c>
      <c r="E37" s="13">
        <f t="shared" si="7"/>
        <v>170743.5456362496</v>
      </c>
      <c r="F37" s="13">
        <f t="shared" si="5"/>
        <v>43998.25919999999</v>
      </c>
      <c r="G37" s="13">
        <f t="shared" si="5"/>
        <v>46726.1512704</v>
      </c>
      <c r="H37" s="13">
        <f t="shared" si="5"/>
        <v>49155.911136460796</v>
      </c>
      <c r="I37" s="13">
        <f t="shared" si="5"/>
        <v>51564.55078214737</v>
      </c>
    </row>
    <row r="38" spans="1:9" ht="25.5">
      <c r="A38" s="15" t="s">
        <v>33</v>
      </c>
      <c r="B38" s="13">
        <f>'[3]Зар. плата'!I39</f>
        <v>145689.59999999998</v>
      </c>
      <c r="C38" s="13">
        <f>'[3]Зар. плата'!J39</f>
        <v>154722.3552</v>
      </c>
      <c r="D38" s="13">
        <f>'[3]Зар. плата'!K39</f>
        <v>162767.9176704</v>
      </c>
      <c r="E38" s="13">
        <f t="shared" si="7"/>
        <v>170743.5456362496</v>
      </c>
      <c r="F38" s="13">
        <f t="shared" si="5"/>
        <v>43998.25919999999</v>
      </c>
      <c r="G38" s="13">
        <f t="shared" si="5"/>
        <v>46726.1512704</v>
      </c>
      <c r="H38" s="13">
        <f t="shared" si="5"/>
        <v>49155.911136460796</v>
      </c>
      <c r="I38" s="13">
        <f t="shared" si="5"/>
        <v>51564.55078214737</v>
      </c>
    </row>
    <row r="39" spans="1:9" ht="38.25">
      <c r="A39" s="15" t="s">
        <v>34</v>
      </c>
      <c r="B39" s="13">
        <f>'[3]Зар. плата'!I40</f>
        <v>82521.6</v>
      </c>
      <c r="C39" s="13">
        <f>'[3]Зар. плата'!J40</f>
        <v>87637.93920000001</v>
      </c>
      <c r="D39" s="13">
        <f>'[3]Зар. плата'!K40</f>
        <v>92195.11203840001</v>
      </c>
      <c r="E39" s="13">
        <f t="shared" si="7"/>
        <v>96712.6725282816</v>
      </c>
      <c r="F39" s="13">
        <f t="shared" si="5"/>
        <v>24921.5232</v>
      </c>
      <c r="G39" s="13">
        <f t="shared" si="5"/>
        <v>26466.6576384</v>
      </c>
      <c r="H39" s="13">
        <f t="shared" si="5"/>
        <v>27842.9238355968</v>
      </c>
      <c r="I39" s="13">
        <f t="shared" si="5"/>
        <v>29207.227103541045</v>
      </c>
    </row>
    <row r="40" spans="1:9" ht="12.75">
      <c r="A40" s="15" t="s">
        <v>319</v>
      </c>
      <c r="B40" s="13">
        <f>'[3]Зар. плата'!I41</f>
        <v>87360</v>
      </c>
      <c r="C40" s="13">
        <f>'[3]Зар. плата'!J41</f>
        <v>92776.32</v>
      </c>
      <c r="D40" s="13">
        <f>'[3]Зар. плата'!K41</f>
        <v>97600.68864000001</v>
      </c>
      <c r="E40" s="13">
        <f>D40*1.049</f>
        <v>102383.12238336</v>
      </c>
      <c r="F40" s="13">
        <f t="shared" si="5"/>
        <v>26382.719999999998</v>
      </c>
      <c r="G40" s="13">
        <f t="shared" si="5"/>
        <v>28018.448640000002</v>
      </c>
      <c r="H40" s="13">
        <f t="shared" si="5"/>
        <v>29475.40796928</v>
      </c>
      <c r="I40" s="13">
        <f t="shared" si="5"/>
        <v>30919.702959774717</v>
      </c>
    </row>
    <row r="41" spans="1:9" ht="12.75">
      <c r="A41" s="15" t="s">
        <v>320</v>
      </c>
      <c r="B41" s="13">
        <f>'[3]Зар. плата'!I42</f>
        <v>43276.8</v>
      </c>
      <c r="C41" s="13">
        <f>'[3]Зар. плата'!J42</f>
        <v>45959.9616</v>
      </c>
      <c r="D41" s="13">
        <f>'[3]Зар. плата'!K42</f>
        <v>48349.8796032</v>
      </c>
      <c r="E41" s="13">
        <f>D41*1.049</f>
        <v>50719.0237037568</v>
      </c>
      <c r="F41" s="13">
        <f t="shared" si="5"/>
        <v>13069.5936</v>
      </c>
      <c r="G41" s="13">
        <f t="shared" si="5"/>
        <v>13879.908403200001</v>
      </c>
      <c r="H41" s="13">
        <f t="shared" si="5"/>
        <v>14601.6636401664</v>
      </c>
      <c r="I41" s="13">
        <f t="shared" si="5"/>
        <v>15317.145158534553</v>
      </c>
    </row>
    <row r="42" spans="1:9" ht="12.75">
      <c r="A42" s="15" t="s">
        <v>35</v>
      </c>
      <c r="B42" s="13">
        <f>'[3]Зар. плата'!I43</f>
        <v>86553.6</v>
      </c>
      <c r="C42" s="13">
        <f>'[3]Зар. плата'!J43</f>
        <v>91919.9232</v>
      </c>
      <c r="D42" s="13">
        <f>'[3]Зар. плата'!K43</f>
        <v>96699.7592064</v>
      </c>
      <c r="E42" s="13">
        <f>D42*1.049</f>
        <v>101438.0474075136</v>
      </c>
      <c r="F42" s="13">
        <f t="shared" si="5"/>
        <v>26139.1872</v>
      </c>
      <c r="G42" s="13">
        <f t="shared" si="5"/>
        <v>27759.816806400002</v>
      </c>
      <c r="H42" s="13">
        <f t="shared" si="5"/>
        <v>29203.3272803328</v>
      </c>
      <c r="I42" s="13">
        <f t="shared" si="5"/>
        <v>30634.290317069106</v>
      </c>
    </row>
    <row r="43" spans="1:9" s="1" customFormat="1" ht="12.75">
      <c r="A43" s="7" t="s">
        <v>37</v>
      </c>
      <c r="B43" s="17">
        <f aca="true" t="shared" si="8" ref="B43:I43">SUM(B29:B42)</f>
        <v>2580695.88</v>
      </c>
      <c r="C43" s="17">
        <f t="shared" si="8"/>
        <v>2740699.0245600003</v>
      </c>
      <c r="D43" s="17">
        <f t="shared" si="8"/>
        <v>2883215.3738371194</v>
      </c>
      <c r="E43" s="17">
        <f t="shared" si="8"/>
        <v>3024492.927155139</v>
      </c>
      <c r="F43" s="17">
        <f t="shared" si="8"/>
        <v>779370.15576</v>
      </c>
      <c r="G43" s="17">
        <f t="shared" si="8"/>
        <v>827691.1054171199</v>
      </c>
      <c r="H43" s="17">
        <f t="shared" si="8"/>
        <v>870731.0428988102</v>
      </c>
      <c r="I43" s="17">
        <f t="shared" si="8"/>
        <v>913396.8640008518</v>
      </c>
    </row>
    <row r="44" spans="1:9" ht="12.75">
      <c r="A44" s="6"/>
      <c r="B44" s="6"/>
      <c r="C44" s="6"/>
      <c r="D44" s="6"/>
      <c r="E44" s="6"/>
      <c r="F44" s="13"/>
      <c r="G44" s="13"/>
      <c r="H44" s="13"/>
      <c r="I44" s="13"/>
    </row>
    <row r="45" spans="1:9" s="1" customFormat="1" ht="25.5">
      <c r="A45" s="5" t="s">
        <v>94</v>
      </c>
      <c r="B45" s="17">
        <f aca="true" t="shared" si="9" ref="B45:I45">SUM(B15+B21+B26+B43)</f>
        <v>8289454.992000001</v>
      </c>
      <c r="C45" s="17">
        <f t="shared" si="9"/>
        <v>8803401.201504001</v>
      </c>
      <c r="D45" s="17">
        <f t="shared" si="9"/>
        <v>9261178.06398221</v>
      </c>
      <c r="E45" s="17">
        <f t="shared" si="9"/>
        <v>9714975.789117336</v>
      </c>
      <c r="F45" s="17">
        <f t="shared" si="9"/>
        <v>2503415.4075840004</v>
      </c>
      <c r="G45" s="17">
        <f t="shared" si="9"/>
        <v>2658627.162854208</v>
      </c>
      <c r="H45" s="17">
        <f t="shared" si="9"/>
        <v>2796875.7753226273</v>
      </c>
      <c r="I45" s="17">
        <f t="shared" si="9"/>
        <v>2933922.6883134353</v>
      </c>
    </row>
  </sheetData>
  <sheetProtection/>
  <mergeCells count="6">
    <mergeCell ref="A1:D1"/>
    <mergeCell ref="B6:E6"/>
    <mergeCell ref="F6:I6"/>
    <mergeCell ref="A3:I3"/>
    <mergeCell ref="A6:A7"/>
    <mergeCell ref="A5:D5"/>
  </mergeCells>
  <printOptions/>
  <pageMargins left="0" right="0" top="0" bottom="0" header="0" footer="0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66"/>
  <sheetViews>
    <sheetView zoomScalePageLayoutView="0" workbookViewId="0" topLeftCell="I30">
      <selection activeCell="X9" sqref="X9:X43"/>
    </sheetView>
  </sheetViews>
  <sheetFormatPr defaultColWidth="9.140625" defaultRowHeight="12.75"/>
  <cols>
    <col min="1" max="1" width="3.421875" style="91" customWidth="1"/>
    <col min="2" max="2" width="13.8515625" style="91" customWidth="1"/>
    <col min="3" max="3" width="10.7109375" style="91" customWidth="1"/>
    <col min="4" max="4" width="7.00390625" style="91" customWidth="1"/>
    <col min="5" max="5" width="16.140625" style="91" customWidth="1"/>
    <col min="6" max="6" width="5.28125" style="91" customWidth="1"/>
    <col min="7" max="7" width="8.00390625" style="91" customWidth="1"/>
    <col min="8" max="8" width="14.28125" style="91" customWidth="1"/>
    <col min="9" max="9" width="5.140625" style="91" customWidth="1"/>
    <col min="10" max="10" width="6.140625" style="91" customWidth="1"/>
    <col min="11" max="11" width="8.140625" style="91" customWidth="1"/>
    <col min="12" max="12" width="6.8515625" style="0" customWidth="1"/>
    <col min="13" max="14" width="6.00390625" style="0" customWidth="1"/>
    <col min="15" max="15" width="7.7109375" style="0" customWidth="1"/>
    <col min="19" max="19" width="4.421875" style="0" customWidth="1"/>
    <col min="20" max="20" width="6.8515625" style="0" customWidth="1"/>
    <col min="21" max="21" width="9.57421875" style="0" bestFit="1" customWidth="1"/>
    <col min="22" max="22" width="0" style="0" hidden="1" customWidth="1"/>
    <col min="27" max="27" width="10.57421875" style="0" customWidth="1"/>
    <col min="29" max="29" width="3.421875" style="91" customWidth="1"/>
    <col min="30" max="16384" width="9.140625" style="91" customWidth="1"/>
  </cols>
  <sheetData>
    <row r="1" spans="1:29" ht="12.75">
      <c r="A1" s="85"/>
      <c r="B1" s="86" t="s">
        <v>326</v>
      </c>
      <c r="C1" s="87"/>
      <c r="D1" s="88"/>
      <c r="E1" s="89"/>
      <c r="F1" s="90"/>
      <c r="G1" s="89"/>
      <c r="J1" s="90"/>
      <c r="K1" s="90"/>
      <c r="L1" s="92"/>
      <c r="M1" s="92"/>
      <c r="N1" s="92"/>
      <c r="O1" s="92"/>
      <c r="P1" s="92"/>
      <c r="Q1" s="93"/>
      <c r="R1" s="94" t="s">
        <v>241</v>
      </c>
      <c r="S1" s="93"/>
      <c r="T1" s="93"/>
      <c r="U1" s="93"/>
      <c r="V1" s="95"/>
      <c r="Y1" s="96"/>
      <c r="AA1" s="97"/>
      <c r="AB1" s="96"/>
      <c r="AC1" s="85"/>
    </row>
    <row r="2" spans="1:29" ht="12.75">
      <c r="A2" s="85"/>
      <c r="B2" s="98" t="s">
        <v>327</v>
      </c>
      <c r="C2" s="87"/>
      <c r="D2" s="88"/>
      <c r="E2" s="89"/>
      <c r="F2" s="99"/>
      <c r="G2" s="88"/>
      <c r="J2" s="90"/>
      <c r="K2" s="90"/>
      <c r="L2" s="92"/>
      <c r="M2" s="92"/>
      <c r="N2" s="92"/>
      <c r="O2" s="92"/>
      <c r="P2" s="92"/>
      <c r="Q2" s="100"/>
      <c r="R2" s="101" t="s">
        <v>328</v>
      </c>
      <c r="S2" s="100"/>
      <c r="T2" s="93"/>
      <c r="U2" s="93"/>
      <c r="V2" s="95"/>
      <c r="Y2" s="102"/>
      <c r="Z2" s="91"/>
      <c r="AA2" s="103"/>
      <c r="AB2" s="96"/>
      <c r="AC2" s="85"/>
    </row>
    <row r="3" spans="1:29" ht="12.75">
      <c r="A3" s="85"/>
      <c r="B3" s="98" t="s">
        <v>329</v>
      </c>
      <c r="C3" s="87"/>
      <c r="D3" s="88"/>
      <c r="E3" s="89"/>
      <c r="F3" s="99"/>
      <c r="G3" s="88"/>
      <c r="J3" s="90"/>
      <c r="K3" s="90"/>
      <c r="L3" s="92"/>
      <c r="M3" s="92"/>
      <c r="N3" s="92"/>
      <c r="O3" s="92"/>
      <c r="P3" s="92"/>
      <c r="Q3" s="100"/>
      <c r="R3" s="102" t="s">
        <v>330</v>
      </c>
      <c r="S3" s="100"/>
      <c r="T3" s="93"/>
      <c r="U3" s="93"/>
      <c r="V3" s="95"/>
      <c r="Y3" s="102"/>
      <c r="Z3" s="104"/>
      <c r="AA3" s="103"/>
      <c r="AB3" s="96"/>
      <c r="AC3" s="85"/>
    </row>
    <row r="4" spans="1:29" ht="12.75">
      <c r="A4" s="85"/>
      <c r="B4" s="98" t="s">
        <v>331</v>
      </c>
      <c r="C4" s="87"/>
      <c r="D4" s="88"/>
      <c r="E4" s="89"/>
      <c r="F4" s="99"/>
      <c r="G4" s="88"/>
      <c r="J4" s="90"/>
      <c r="K4" s="90"/>
      <c r="L4" s="92"/>
      <c r="M4" s="92"/>
      <c r="N4" s="92"/>
      <c r="O4" s="92"/>
      <c r="P4" s="92"/>
      <c r="Q4" s="93"/>
      <c r="R4" s="102" t="s">
        <v>332</v>
      </c>
      <c r="S4" s="93"/>
      <c r="T4" s="95"/>
      <c r="U4" s="95"/>
      <c r="V4" s="95"/>
      <c r="Y4" s="102"/>
      <c r="Z4" s="104"/>
      <c r="AA4" s="103"/>
      <c r="AB4" s="96"/>
      <c r="AC4" s="85"/>
    </row>
    <row r="5" spans="1:29" ht="12.75">
      <c r="A5" s="85"/>
      <c r="B5" s="98"/>
      <c r="C5" s="87"/>
      <c r="D5" s="88"/>
      <c r="E5" s="89"/>
      <c r="F5" s="99"/>
      <c r="G5" s="88"/>
      <c r="J5" s="90"/>
      <c r="K5" s="90"/>
      <c r="L5" s="92"/>
      <c r="M5" s="92"/>
      <c r="N5" s="92"/>
      <c r="O5" s="92"/>
      <c r="P5" s="92"/>
      <c r="Q5" s="93"/>
      <c r="R5" s="105"/>
      <c r="S5" s="93"/>
      <c r="T5" s="95"/>
      <c r="U5" s="95"/>
      <c r="V5" s="95"/>
      <c r="W5" s="95"/>
      <c r="X5" s="95"/>
      <c r="Y5" s="93"/>
      <c r="Z5" s="93"/>
      <c r="AA5" s="106"/>
      <c r="AB5" s="106"/>
      <c r="AC5" s="85"/>
    </row>
    <row r="6" spans="1:29" ht="12.75">
      <c r="A6" s="85"/>
      <c r="B6" s="107"/>
      <c r="C6" s="87"/>
      <c r="D6" s="87"/>
      <c r="E6" s="90"/>
      <c r="F6" s="90"/>
      <c r="G6" s="88"/>
      <c r="H6" s="90"/>
      <c r="I6" s="90"/>
      <c r="J6" s="108"/>
      <c r="K6" s="108"/>
      <c r="L6" s="109"/>
      <c r="M6" s="109"/>
      <c r="N6" s="109"/>
      <c r="O6" s="109"/>
      <c r="P6" s="109"/>
      <c r="Q6" s="110"/>
      <c r="R6" s="111"/>
      <c r="S6" s="111"/>
      <c r="T6" s="112"/>
      <c r="U6" s="113"/>
      <c r="V6" s="113"/>
      <c r="W6" s="113"/>
      <c r="X6" s="113"/>
      <c r="Y6" s="113"/>
      <c r="Z6" s="113"/>
      <c r="AA6" s="113"/>
      <c r="AB6" s="112"/>
      <c r="AC6" s="85"/>
    </row>
    <row r="7" spans="1:29" ht="19.5">
      <c r="A7" s="114"/>
      <c r="B7" s="115"/>
      <c r="C7" s="116" t="s">
        <v>333</v>
      </c>
      <c r="E7" s="114"/>
      <c r="F7" s="114"/>
      <c r="G7" s="115"/>
      <c r="H7" s="114"/>
      <c r="I7" s="114"/>
      <c r="J7" s="117"/>
      <c r="K7" s="117"/>
      <c r="L7" s="118"/>
      <c r="M7" s="118"/>
      <c r="N7" s="118"/>
      <c r="O7" s="118"/>
      <c r="P7" s="118"/>
      <c r="Q7" s="118"/>
      <c r="R7" s="119"/>
      <c r="S7" s="120"/>
      <c r="T7" s="121"/>
      <c r="U7" s="122"/>
      <c r="V7" s="123"/>
      <c r="W7" s="122"/>
      <c r="X7" s="122"/>
      <c r="Y7" s="122"/>
      <c r="Z7" s="122"/>
      <c r="AA7" s="122"/>
      <c r="AB7" s="121"/>
      <c r="AC7" s="114"/>
    </row>
    <row r="8" spans="1:29" ht="80.25" customHeight="1">
      <c r="A8" s="124" t="s">
        <v>334</v>
      </c>
      <c r="B8" s="125" t="s">
        <v>335</v>
      </c>
      <c r="C8" s="124" t="s">
        <v>336</v>
      </c>
      <c r="D8" s="126" t="s">
        <v>337</v>
      </c>
      <c r="E8" s="126" t="s">
        <v>338</v>
      </c>
      <c r="F8" s="126" t="s">
        <v>339</v>
      </c>
      <c r="G8" s="126" t="s">
        <v>340</v>
      </c>
      <c r="H8" s="126" t="s">
        <v>341</v>
      </c>
      <c r="I8" s="127" t="s">
        <v>342</v>
      </c>
      <c r="J8" s="128" t="s">
        <v>2</v>
      </c>
      <c r="K8" s="129" t="s">
        <v>343</v>
      </c>
      <c r="L8" s="129" t="s">
        <v>344</v>
      </c>
      <c r="M8" s="129" t="s">
        <v>345</v>
      </c>
      <c r="N8" s="129" t="s">
        <v>346</v>
      </c>
      <c r="O8" s="129" t="s">
        <v>347</v>
      </c>
      <c r="P8" s="130" t="s">
        <v>348</v>
      </c>
      <c r="Q8" s="131" t="s">
        <v>349</v>
      </c>
      <c r="R8" s="132" t="s">
        <v>350</v>
      </c>
      <c r="S8" s="132" t="s">
        <v>351</v>
      </c>
      <c r="T8" s="129" t="s">
        <v>352</v>
      </c>
      <c r="U8" s="133" t="s">
        <v>353</v>
      </c>
      <c r="V8" s="131" t="s">
        <v>354</v>
      </c>
      <c r="W8" s="129" t="s">
        <v>350</v>
      </c>
      <c r="X8" s="129" t="s">
        <v>459</v>
      </c>
      <c r="Y8" s="134" t="s">
        <v>351</v>
      </c>
      <c r="Z8" s="133" t="s">
        <v>355</v>
      </c>
      <c r="AA8" s="133" t="s">
        <v>356</v>
      </c>
      <c r="AB8" s="135" t="s">
        <v>357</v>
      </c>
      <c r="AC8" s="124" t="s">
        <v>334</v>
      </c>
    </row>
    <row r="9" spans="1:31" ht="30" customHeight="1">
      <c r="A9" s="255">
        <v>1</v>
      </c>
      <c r="B9" s="259" t="s">
        <v>358</v>
      </c>
      <c r="C9" s="138" t="s">
        <v>359</v>
      </c>
      <c r="D9" s="139" t="s">
        <v>360</v>
      </c>
      <c r="E9" s="140" t="s">
        <v>361</v>
      </c>
      <c r="F9" s="141">
        <v>27</v>
      </c>
      <c r="G9" s="142"/>
      <c r="H9" s="143" t="s">
        <v>362</v>
      </c>
      <c r="I9" s="144">
        <v>1</v>
      </c>
      <c r="J9" s="145">
        <v>1</v>
      </c>
      <c r="K9" s="146">
        <v>15224</v>
      </c>
      <c r="L9" s="147"/>
      <c r="M9" s="147"/>
      <c r="N9" s="147">
        <v>0.05</v>
      </c>
      <c r="O9" s="147"/>
      <c r="P9" s="148">
        <f>K9+K9*L9+K9*M9+K9*N9</f>
        <v>15985.2</v>
      </c>
      <c r="Q9" s="149"/>
      <c r="R9" s="150">
        <v>15</v>
      </c>
      <c r="S9" s="151"/>
      <c r="T9" s="152">
        <v>60</v>
      </c>
      <c r="U9" s="153">
        <f>P9*J9</f>
        <v>15985.2</v>
      </c>
      <c r="V9" s="153">
        <f>K9*Q9/100</f>
        <v>0</v>
      </c>
      <c r="W9" s="153">
        <f>U9*R9/100</f>
        <v>2397.78</v>
      </c>
      <c r="X9" s="153">
        <f>(U9+W9+Y9)*0.4</f>
        <v>7353.192</v>
      </c>
      <c r="Y9" s="153">
        <f>K9*S9/100</f>
        <v>0</v>
      </c>
      <c r="Z9" s="154">
        <f>(U9+V9+W9+Y9+X9)*0.6</f>
        <v>15441.703199999998</v>
      </c>
      <c r="AA9" s="154">
        <f>U9+V9+W9+Y9+Z9+X9</f>
        <v>41177.8752</v>
      </c>
      <c r="AB9" s="155"/>
      <c r="AC9" s="255">
        <v>1</v>
      </c>
      <c r="AE9" s="91">
        <f>AA9/J9</f>
        <v>41177.8752</v>
      </c>
    </row>
    <row r="10" spans="1:31" ht="21.75" customHeight="1">
      <c r="A10" s="256"/>
      <c r="B10" s="260"/>
      <c r="C10" s="156" t="s">
        <v>363</v>
      </c>
      <c r="D10" s="139"/>
      <c r="E10" s="140"/>
      <c r="F10" s="141"/>
      <c r="G10" s="142"/>
      <c r="H10" s="143" t="s">
        <v>364</v>
      </c>
      <c r="I10" s="144">
        <v>2</v>
      </c>
      <c r="J10" s="145">
        <v>0.5</v>
      </c>
      <c r="K10" s="152">
        <v>6198</v>
      </c>
      <c r="L10" s="147">
        <v>0.1</v>
      </c>
      <c r="M10" s="147"/>
      <c r="N10" s="147">
        <v>0.1</v>
      </c>
      <c r="O10" s="147">
        <v>0.15</v>
      </c>
      <c r="P10" s="148">
        <f>K10+K10*L10+K10*M10+K10*N10+O10*K10</f>
        <v>8367.300000000001</v>
      </c>
      <c r="Q10" s="150"/>
      <c r="R10" s="150"/>
      <c r="S10" s="151"/>
      <c r="T10" s="152">
        <v>60</v>
      </c>
      <c r="U10" s="153">
        <f aca="true" t="shared" si="0" ref="U10:U42">P10*J10</f>
        <v>4183.650000000001</v>
      </c>
      <c r="V10" s="153">
        <f aca="true" t="shared" si="1" ref="V10:V43">K10*Q10/100</f>
        <v>0</v>
      </c>
      <c r="W10" s="153">
        <f>U10*R10/100</f>
        <v>0</v>
      </c>
      <c r="X10" s="153">
        <f aca="true" t="shared" si="2" ref="X10:X43">(U10+W10+Y10)*0.4</f>
        <v>1673.4600000000003</v>
      </c>
      <c r="Y10" s="153">
        <f aca="true" t="shared" si="3" ref="Y10:Y43">K10*S10/100</f>
        <v>0</v>
      </c>
      <c r="Z10" s="154">
        <f aca="true" t="shared" si="4" ref="Z10:Z43">(U10+V10+W10+Y10+X10)*0.6</f>
        <v>3514.266</v>
      </c>
      <c r="AA10" s="154">
        <f aca="true" t="shared" si="5" ref="AA10:AA43">U10+V10+W10+Y10+Z10+X10</f>
        <v>9371.376000000002</v>
      </c>
      <c r="AB10" s="155"/>
      <c r="AC10" s="256"/>
      <c r="AE10" s="91">
        <f aca="true" t="shared" si="6" ref="AE10:AE43">AA10/J10</f>
        <v>18742.752000000004</v>
      </c>
    </row>
    <row r="11" spans="1:31" ht="26.25" customHeight="1">
      <c r="A11" s="255">
        <v>2</v>
      </c>
      <c r="B11" s="259" t="s">
        <v>365</v>
      </c>
      <c r="C11" s="156" t="s">
        <v>366</v>
      </c>
      <c r="D11" s="142" t="s">
        <v>367</v>
      </c>
      <c r="E11" s="157" t="s">
        <v>368</v>
      </c>
      <c r="F11" s="158">
        <v>48</v>
      </c>
      <c r="G11" s="159" t="s">
        <v>369</v>
      </c>
      <c r="H11" s="143" t="s">
        <v>362</v>
      </c>
      <c r="I11" s="138">
        <v>1</v>
      </c>
      <c r="J11" s="160">
        <v>1</v>
      </c>
      <c r="K11" s="150">
        <v>13701</v>
      </c>
      <c r="L11" s="161"/>
      <c r="M11" s="161"/>
      <c r="N11" s="161">
        <v>0.05</v>
      </c>
      <c r="O11" s="161"/>
      <c r="P11" s="148">
        <f>K11+K11*L11+K11*M11+K11*N11</f>
        <v>14386.05</v>
      </c>
      <c r="Q11" s="162"/>
      <c r="R11" s="150"/>
      <c r="S11" s="163"/>
      <c r="T11" s="155">
        <v>60</v>
      </c>
      <c r="U11" s="153">
        <f t="shared" si="0"/>
        <v>14386.05</v>
      </c>
      <c r="V11" s="153">
        <f t="shared" si="1"/>
        <v>0</v>
      </c>
      <c r="W11" s="153">
        <f>U11*R11/100</f>
        <v>0</v>
      </c>
      <c r="X11" s="153">
        <f t="shared" si="2"/>
        <v>5754.42</v>
      </c>
      <c r="Y11" s="153">
        <f>K11*S11/100</f>
        <v>0</v>
      </c>
      <c r="Z11" s="154">
        <f t="shared" si="4"/>
        <v>12084.282000000001</v>
      </c>
      <c r="AA11" s="154">
        <f t="shared" si="5"/>
        <v>32224.752</v>
      </c>
      <c r="AB11" s="155"/>
      <c r="AC11" s="255">
        <v>2</v>
      </c>
      <c r="AE11" s="91">
        <f t="shared" si="6"/>
        <v>32224.752</v>
      </c>
    </row>
    <row r="12" spans="1:31" ht="22.5" customHeight="1">
      <c r="A12" s="256"/>
      <c r="B12" s="260"/>
      <c r="C12" s="156" t="s">
        <v>363</v>
      </c>
      <c r="D12" s="142"/>
      <c r="E12" s="157"/>
      <c r="F12" s="158"/>
      <c r="G12" s="159"/>
      <c r="H12" s="143" t="s">
        <v>364</v>
      </c>
      <c r="I12" s="144">
        <v>2</v>
      </c>
      <c r="J12" s="160">
        <v>0.5</v>
      </c>
      <c r="K12" s="150">
        <v>6198</v>
      </c>
      <c r="L12" s="161">
        <v>0.1</v>
      </c>
      <c r="M12" s="161"/>
      <c r="N12" s="161">
        <v>0.1</v>
      </c>
      <c r="O12" s="161"/>
      <c r="P12" s="148">
        <f>K12+K12*L12+K12*M12+K12*N12</f>
        <v>7437.6</v>
      </c>
      <c r="Q12" s="162"/>
      <c r="R12" s="164"/>
      <c r="S12" s="163"/>
      <c r="T12" s="155">
        <v>60</v>
      </c>
      <c r="U12" s="153">
        <f t="shared" si="0"/>
        <v>3718.8</v>
      </c>
      <c r="V12" s="153">
        <f t="shared" si="1"/>
        <v>0</v>
      </c>
      <c r="W12" s="153">
        <f>U12*R12/100</f>
        <v>0</v>
      </c>
      <c r="X12" s="153">
        <f t="shared" si="2"/>
        <v>1487.5200000000002</v>
      </c>
      <c r="Y12" s="153">
        <f t="shared" si="3"/>
        <v>0</v>
      </c>
      <c r="Z12" s="154">
        <f t="shared" si="4"/>
        <v>3123.7920000000004</v>
      </c>
      <c r="AA12" s="154">
        <f t="shared" si="5"/>
        <v>8330.112000000001</v>
      </c>
      <c r="AB12" s="155"/>
      <c r="AC12" s="256"/>
      <c r="AE12" s="91">
        <f t="shared" si="6"/>
        <v>16660.224000000002</v>
      </c>
    </row>
    <row r="13" spans="1:31" ht="33.75">
      <c r="A13" s="165">
        <v>3</v>
      </c>
      <c r="B13" s="166" t="s">
        <v>370</v>
      </c>
      <c r="C13" s="144" t="s">
        <v>371</v>
      </c>
      <c r="D13" s="142" t="s">
        <v>360</v>
      </c>
      <c r="E13" s="167" t="s">
        <v>372</v>
      </c>
      <c r="F13" s="138">
        <v>5</v>
      </c>
      <c r="G13" s="159"/>
      <c r="H13" s="143" t="s">
        <v>373</v>
      </c>
      <c r="I13" s="144">
        <v>2</v>
      </c>
      <c r="J13" s="160">
        <v>1</v>
      </c>
      <c r="K13" s="150">
        <v>6198</v>
      </c>
      <c r="L13" s="161">
        <v>0.1</v>
      </c>
      <c r="M13" s="161"/>
      <c r="N13" s="161"/>
      <c r="O13" s="161"/>
      <c r="P13" s="168">
        <f>K13+K13*L13+K13*M13+K13*N13</f>
        <v>6817.8</v>
      </c>
      <c r="Q13" s="162"/>
      <c r="R13" s="138">
        <v>20</v>
      </c>
      <c r="S13" s="163">
        <v>15</v>
      </c>
      <c r="T13" s="155">
        <v>60</v>
      </c>
      <c r="U13" s="153">
        <f t="shared" si="0"/>
        <v>6817.8</v>
      </c>
      <c r="V13" s="153">
        <f t="shared" si="1"/>
        <v>0</v>
      </c>
      <c r="W13" s="153">
        <f>P13*R13/100</f>
        <v>1363.56</v>
      </c>
      <c r="X13" s="153">
        <f t="shared" si="2"/>
        <v>3644.424000000001</v>
      </c>
      <c r="Y13" s="153">
        <f>K13*S13/100</f>
        <v>929.7</v>
      </c>
      <c r="Z13" s="154">
        <f t="shared" si="4"/>
        <v>7653.290400000001</v>
      </c>
      <c r="AA13" s="154">
        <f t="shared" si="5"/>
        <v>20408.774400000002</v>
      </c>
      <c r="AB13" s="155"/>
      <c r="AC13" s="165">
        <v>3</v>
      </c>
      <c r="AE13" s="91">
        <f t="shared" si="6"/>
        <v>20408.774400000002</v>
      </c>
    </row>
    <row r="14" spans="1:31" ht="29.25" customHeight="1">
      <c r="A14" s="169">
        <v>4</v>
      </c>
      <c r="B14" s="170" t="s">
        <v>374</v>
      </c>
      <c r="C14" s="171" t="s">
        <v>375</v>
      </c>
      <c r="D14" s="139" t="s">
        <v>360</v>
      </c>
      <c r="E14" s="144" t="s">
        <v>376</v>
      </c>
      <c r="F14" s="138">
        <v>15</v>
      </c>
      <c r="G14" s="139"/>
      <c r="H14" s="144" t="s">
        <v>377</v>
      </c>
      <c r="I14" s="138">
        <v>1</v>
      </c>
      <c r="J14" s="160">
        <v>2</v>
      </c>
      <c r="K14" s="150">
        <v>6578</v>
      </c>
      <c r="L14" s="161">
        <v>0.3</v>
      </c>
      <c r="M14" s="161"/>
      <c r="N14" s="161"/>
      <c r="O14" s="161"/>
      <c r="P14" s="168">
        <f aca="true" t="shared" si="7" ref="P14:P24">K14+K14*L14+K14*M14+K14*N14+O14*K14</f>
        <v>8551.4</v>
      </c>
      <c r="Q14" s="150"/>
      <c r="R14" s="138">
        <v>20</v>
      </c>
      <c r="S14" s="163">
        <v>15</v>
      </c>
      <c r="T14" s="155">
        <v>60</v>
      </c>
      <c r="U14" s="153">
        <f t="shared" si="0"/>
        <v>17102.8</v>
      </c>
      <c r="V14" s="153">
        <f t="shared" si="1"/>
        <v>0</v>
      </c>
      <c r="W14" s="153">
        <f aca="true" t="shared" si="8" ref="W14:W43">P14*R14/100</f>
        <v>1710.28</v>
      </c>
      <c r="X14" s="153">
        <f t="shared" si="2"/>
        <v>7919.912</v>
      </c>
      <c r="Y14" s="153">
        <f t="shared" si="3"/>
        <v>986.7</v>
      </c>
      <c r="Z14" s="154">
        <f t="shared" si="4"/>
        <v>16631.815199999997</v>
      </c>
      <c r="AA14" s="154">
        <f t="shared" si="5"/>
        <v>44351.50719999999</v>
      </c>
      <c r="AB14" s="155"/>
      <c r="AC14" s="169">
        <v>4</v>
      </c>
      <c r="AE14" s="91">
        <f t="shared" si="6"/>
        <v>22175.753599999996</v>
      </c>
    </row>
    <row r="15" spans="1:31" ht="38.25" customHeight="1">
      <c r="A15" s="172">
        <v>5</v>
      </c>
      <c r="B15" s="173" t="s">
        <v>378</v>
      </c>
      <c r="C15" s="171" t="s">
        <v>379</v>
      </c>
      <c r="D15" s="139" t="s">
        <v>360</v>
      </c>
      <c r="E15" s="144" t="s">
        <v>380</v>
      </c>
      <c r="F15" s="138">
        <v>15</v>
      </c>
      <c r="G15" s="139"/>
      <c r="H15" s="144" t="s">
        <v>381</v>
      </c>
      <c r="I15" s="138">
        <v>1</v>
      </c>
      <c r="J15" s="160">
        <v>2</v>
      </c>
      <c r="K15" s="150">
        <v>6578</v>
      </c>
      <c r="L15" s="161">
        <v>0.3</v>
      </c>
      <c r="M15" s="161"/>
      <c r="N15" s="161"/>
      <c r="O15" s="161"/>
      <c r="P15" s="168">
        <f t="shared" si="7"/>
        <v>8551.4</v>
      </c>
      <c r="Q15" s="162"/>
      <c r="R15" s="138">
        <v>20</v>
      </c>
      <c r="S15" s="163">
        <v>15</v>
      </c>
      <c r="T15" s="155">
        <v>60</v>
      </c>
      <c r="U15" s="153">
        <f t="shared" si="0"/>
        <v>17102.8</v>
      </c>
      <c r="V15" s="153">
        <f t="shared" si="1"/>
        <v>0</v>
      </c>
      <c r="W15" s="153">
        <f t="shared" si="8"/>
        <v>1710.28</v>
      </c>
      <c r="X15" s="153">
        <f t="shared" si="2"/>
        <v>7919.912</v>
      </c>
      <c r="Y15" s="153">
        <f t="shared" si="3"/>
        <v>986.7</v>
      </c>
      <c r="Z15" s="154">
        <f t="shared" si="4"/>
        <v>16631.815199999997</v>
      </c>
      <c r="AA15" s="154">
        <f t="shared" si="5"/>
        <v>44351.50719999999</v>
      </c>
      <c r="AB15" s="155"/>
      <c r="AC15" s="169">
        <v>5</v>
      </c>
      <c r="AE15" s="91">
        <f t="shared" si="6"/>
        <v>22175.753599999996</v>
      </c>
    </row>
    <row r="16" spans="1:31" ht="33.75" customHeight="1">
      <c r="A16" s="169">
        <v>6</v>
      </c>
      <c r="B16" s="170" t="s">
        <v>382</v>
      </c>
      <c r="C16" s="138" t="s">
        <v>383</v>
      </c>
      <c r="D16" s="139" t="s">
        <v>367</v>
      </c>
      <c r="E16" s="144" t="s">
        <v>384</v>
      </c>
      <c r="F16" s="138">
        <v>20.5</v>
      </c>
      <c r="G16" s="139"/>
      <c r="H16" s="144" t="s">
        <v>381</v>
      </c>
      <c r="I16" s="138">
        <v>1</v>
      </c>
      <c r="J16" s="160">
        <v>2</v>
      </c>
      <c r="K16" s="150">
        <v>5566</v>
      </c>
      <c r="L16" s="161">
        <v>0.3</v>
      </c>
      <c r="M16" s="161"/>
      <c r="N16" s="161"/>
      <c r="O16" s="161"/>
      <c r="P16" s="168">
        <f t="shared" si="7"/>
        <v>7235.8</v>
      </c>
      <c r="Q16" s="162"/>
      <c r="R16" s="138">
        <v>20</v>
      </c>
      <c r="S16" s="174">
        <v>22.5</v>
      </c>
      <c r="T16" s="155">
        <v>60</v>
      </c>
      <c r="U16" s="153">
        <f t="shared" si="0"/>
        <v>14471.6</v>
      </c>
      <c r="V16" s="153">
        <f t="shared" si="1"/>
        <v>0</v>
      </c>
      <c r="W16" s="153">
        <f t="shared" si="8"/>
        <v>1447.16</v>
      </c>
      <c r="X16" s="153">
        <f t="shared" si="2"/>
        <v>6868.444</v>
      </c>
      <c r="Y16" s="153">
        <f t="shared" si="3"/>
        <v>1252.35</v>
      </c>
      <c r="Z16" s="154">
        <f t="shared" si="4"/>
        <v>14423.732399999999</v>
      </c>
      <c r="AA16" s="154">
        <f t="shared" si="5"/>
        <v>38463.286400000005</v>
      </c>
      <c r="AB16" s="155"/>
      <c r="AC16" s="169">
        <v>6</v>
      </c>
      <c r="AE16" s="91">
        <f t="shared" si="6"/>
        <v>19231.643200000002</v>
      </c>
    </row>
    <row r="17" spans="1:31" ht="30.75" customHeight="1">
      <c r="A17" s="255">
        <v>7</v>
      </c>
      <c r="B17" s="257" t="s">
        <v>385</v>
      </c>
      <c r="C17" s="144" t="s">
        <v>386</v>
      </c>
      <c r="D17" s="139" t="s">
        <v>367</v>
      </c>
      <c r="E17" s="144" t="s">
        <v>384</v>
      </c>
      <c r="F17" s="138">
        <v>17</v>
      </c>
      <c r="G17" s="139"/>
      <c r="H17" s="144" t="s">
        <v>381</v>
      </c>
      <c r="I17" s="138">
        <v>1</v>
      </c>
      <c r="J17" s="160">
        <v>0.25</v>
      </c>
      <c r="K17" s="175">
        <v>5566</v>
      </c>
      <c r="L17" s="161">
        <v>0.3</v>
      </c>
      <c r="M17" s="176"/>
      <c r="N17" s="176"/>
      <c r="O17" s="176"/>
      <c r="P17" s="168">
        <f t="shared" si="7"/>
        <v>7235.8</v>
      </c>
      <c r="Q17" s="162"/>
      <c r="R17" s="138">
        <v>20</v>
      </c>
      <c r="S17" s="174">
        <v>15</v>
      </c>
      <c r="T17" s="155">
        <v>60</v>
      </c>
      <c r="U17" s="153">
        <f t="shared" si="0"/>
        <v>1808.95</v>
      </c>
      <c r="V17" s="153">
        <f t="shared" si="1"/>
        <v>0</v>
      </c>
      <c r="W17" s="153">
        <f t="shared" si="8"/>
        <v>1447.16</v>
      </c>
      <c r="X17" s="153">
        <f t="shared" si="2"/>
        <v>1636.4040000000002</v>
      </c>
      <c r="Y17" s="153">
        <f t="shared" si="3"/>
        <v>834.9</v>
      </c>
      <c r="Z17" s="154">
        <f t="shared" si="4"/>
        <v>3436.4484</v>
      </c>
      <c r="AA17" s="154">
        <f t="shared" si="5"/>
        <v>9163.8624</v>
      </c>
      <c r="AB17" s="155"/>
      <c r="AC17" s="169">
        <v>7</v>
      </c>
      <c r="AE17" s="91">
        <f t="shared" si="6"/>
        <v>36655.4496</v>
      </c>
    </row>
    <row r="18" spans="1:31" ht="21" customHeight="1">
      <c r="A18" s="256"/>
      <c r="B18" s="258"/>
      <c r="C18" s="138" t="s">
        <v>387</v>
      </c>
      <c r="D18" s="139"/>
      <c r="E18" s="177"/>
      <c r="F18" s="138"/>
      <c r="G18" s="139"/>
      <c r="H18" s="144"/>
      <c r="I18" s="138"/>
      <c r="J18" s="160">
        <v>1.5</v>
      </c>
      <c r="K18" s="178">
        <v>5566</v>
      </c>
      <c r="L18" s="161"/>
      <c r="M18" s="161"/>
      <c r="N18" s="161"/>
      <c r="O18" s="161">
        <v>0.2</v>
      </c>
      <c r="P18" s="168">
        <f>K18+K18*L18+K18*M18+K18*N18+O18*K18</f>
        <v>6679.2</v>
      </c>
      <c r="Q18" s="161"/>
      <c r="R18" s="178">
        <v>20</v>
      </c>
      <c r="S18" s="163">
        <v>15</v>
      </c>
      <c r="T18" s="152">
        <v>60</v>
      </c>
      <c r="U18" s="153">
        <f>P18*J18</f>
        <v>10018.8</v>
      </c>
      <c r="V18" s="153">
        <f>K18*Q18/100</f>
        <v>0</v>
      </c>
      <c r="W18" s="153">
        <f>P18*R18/100</f>
        <v>1335.84</v>
      </c>
      <c r="X18" s="153">
        <f t="shared" si="2"/>
        <v>4875.816</v>
      </c>
      <c r="Y18" s="153">
        <f>K18*S18/100</f>
        <v>834.9</v>
      </c>
      <c r="Z18" s="154">
        <f t="shared" si="4"/>
        <v>10239.2136</v>
      </c>
      <c r="AA18" s="154">
        <f t="shared" si="5"/>
        <v>27304.569599999995</v>
      </c>
      <c r="AB18" s="161"/>
      <c r="AC18" s="179"/>
      <c r="AE18" s="91">
        <f t="shared" si="6"/>
        <v>18203.046399999996</v>
      </c>
    </row>
    <row r="19" spans="1:31" ht="29.25" customHeight="1">
      <c r="A19" s="180">
        <v>8</v>
      </c>
      <c r="B19" s="170" t="s">
        <v>388</v>
      </c>
      <c r="C19" s="156" t="s">
        <v>363</v>
      </c>
      <c r="D19" s="139" t="s">
        <v>367</v>
      </c>
      <c r="E19" s="144" t="s">
        <v>389</v>
      </c>
      <c r="F19" s="138">
        <v>19</v>
      </c>
      <c r="G19" s="139"/>
      <c r="H19" s="144" t="s">
        <v>390</v>
      </c>
      <c r="I19" s="138">
        <v>2</v>
      </c>
      <c r="J19" s="160">
        <v>1</v>
      </c>
      <c r="K19" s="175">
        <v>6198</v>
      </c>
      <c r="L19" s="161">
        <v>0.1</v>
      </c>
      <c r="M19" s="161"/>
      <c r="N19" s="161"/>
      <c r="O19" s="161"/>
      <c r="P19" s="168">
        <f t="shared" si="7"/>
        <v>6817.8</v>
      </c>
      <c r="Q19" s="162"/>
      <c r="R19" s="138">
        <v>20</v>
      </c>
      <c r="S19" s="163">
        <v>15</v>
      </c>
      <c r="T19" s="152">
        <v>60</v>
      </c>
      <c r="U19" s="153">
        <f t="shared" si="0"/>
        <v>6817.8</v>
      </c>
      <c r="V19" s="153">
        <f t="shared" si="1"/>
        <v>0</v>
      </c>
      <c r="W19" s="153">
        <f t="shared" si="8"/>
        <v>1363.56</v>
      </c>
      <c r="X19" s="153">
        <f t="shared" si="2"/>
        <v>3644.424000000001</v>
      </c>
      <c r="Y19" s="153">
        <f>K19*S19/100</f>
        <v>929.7</v>
      </c>
      <c r="Z19" s="154">
        <f t="shared" si="4"/>
        <v>7653.290400000001</v>
      </c>
      <c r="AA19" s="154">
        <f t="shared" si="5"/>
        <v>20408.774400000002</v>
      </c>
      <c r="AB19" s="155"/>
      <c r="AC19" s="180">
        <v>8</v>
      </c>
      <c r="AE19" s="91">
        <f t="shared" si="6"/>
        <v>20408.774400000002</v>
      </c>
    </row>
    <row r="20" spans="1:31" ht="36.75" customHeight="1">
      <c r="A20" s="136">
        <v>9</v>
      </c>
      <c r="B20" s="137" t="s">
        <v>391</v>
      </c>
      <c r="C20" s="171" t="s">
        <v>363</v>
      </c>
      <c r="D20" s="181" t="s">
        <v>360</v>
      </c>
      <c r="E20" s="140" t="s">
        <v>392</v>
      </c>
      <c r="F20" s="138">
        <v>1</v>
      </c>
      <c r="G20" s="139"/>
      <c r="H20" s="144"/>
      <c r="I20" s="144"/>
      <c r="J20" s="160">
        <v>1</v>
      </c>
      <c r="K20" s="175">
        <v>6198</v>
      </c>
      <c r="L20" s="176"/>
      <c r="M20" s="161"/>
      <c r="N20" s="161"/>
      <c r="O20" s="161"/>
      <c r="P20" s="168">
        <f t="shared" si="7"/>
        <v>6198</v>
      </c>
      <c r="Q20" s="162"/>
      <c r="R20" s="138"/>
      <c r="S20" s="163">
        <v>15</v>
      </c>
      <c r="T20" s="155">
        <v>60</v>
      </c>
      <c r="U20" s="153">
        <f t="shared" si="0"/>
        <v>6198</v>
      </c>
      <c r="V20" s="153">
        <f t="shared" si="1"/>
        <v>0</v>
      </c>
      <c r="W20" s="153">
        <f t="shared" si="8"/>
        <v>0</v>
      </c>
      <c r="X20" s="153">
        <f t="shared" si="2"/>
        <v>2851.08</v>
      </c>
      <c r="Y20" s="153">
        <f t="shared" si="3"/>
        <v>929.7</v>
      </c>
      <c r="Z20" s="154">
        <f t="shared" si="4"/>
        <v>5987.267999999999</v>
      </c>
      <c r="AA20" s="154">
        <f t="shared" si="5"/>
        <v>15966.047999999999</v>
      </c>
      <c r="AB20" s="155"/>
      <c r="AC20" s="136">
        <v>9</v>
      </c>
      <c r="AE20" s="91">
        <f t="shared" si="6"/>
        <v>15966.047999999999</v>
      </c>
    </row>
    <row r="21" spans="1:31" ht="29.25" customHeight="1">
      <c r="A21" s="180">
        <v>10</v>
      </c>
      <c r="B21" s="170" t="s">
        <v>393</v>
      </c>
      <c r="C21" s="156" t="s">
        <v>363</v>
      </c>
      <c r="D21" s="139" t="s">
        <v>367</v>
      </c>
      <c r="E21" s="144" t="s">
        <v>394</v>
      </c>
      <c r="F21" s="138">
        <v>19.6</v>
      </c>
      <c r="G21" s="139"/>
      <c r="H21" s="143" t="s">
        <v>362</v>
      </c>
      <c r="I21" s="138">
        <v>1</v>
      </c>
      <c r="J21" s="160">
        <v>1</v>
      </c>
      <c r="K21" s="175">
        <v>6198</v>
      </c>
      <c r="L21" s="161">
        <v>0.3</v>
      </c>
      <c r="M21" s="161"/>
      <c r="N21" s="161"/>
      <c r="O21" s="161"/>
      <c r="P21" s="168">
        <f t="shared" si="7"/>
        <v>8057.4</v>
      </c>
      <c r="Q21" s="182"/>
      <c r="R21" s="138"/>
      <c r="S21" s="163">
        <v>15</v>
      </c>
      <c r="T21" s="155">
        <v>60</v>
      </c>
      <c r="U21" s="153">
        <f t="shared" si="0"/>
        <v>8057.4</v>
      </c>
      <c r="V21" s="153">
        <f t="shared" si="1"/>
        <v>0</v>
      </c>
      <c r="W21" s="153">
        <f t="shared" si="8"/>
        <v>0</v>
      </c>
      <c r="X21" s="153">
        <f t="shared" si="2"/>
        <v>3594.84</v>
      </c>
      <c r="Y21" s="153">
        <f t="shared" si="3"/>
        <v>929.7</v>
      </c>
      <c r="Z21" s="154">
        <f t="shared" si="4"/>
        <v>7549.164</v>
      </c>
      <c r="AA21" s="154">
        <f t="shared" si="5"/>
        <v>20131.104</v>
      </c>
      <c r="AB21" s="155"/>
      <c r="AC21" s="180">
        <v>10</v>
      </c>
      <c r="AE21" s="91">
        <f t="shared" si="6"/>
        <v>20131.104</v>
      </c>
    </row>
    <row r="22" spans="1:31" ht="29.25" customHeight="1">
      <c r="A22" s="180">
        <v>11</v>
      </c>
      <c r="B22" s="170" t="s">
        <v>395</v>
      </c>
      <c r="C22" s="156" t="s">
        <v>363</v>
      </c>
      <c r="D22" s="139" t="s">
        <v>360</v>
      </c>
      <c r="E22" s="144" t="s">
        <v>396</v>
      </c>
      <c r="F22" s="138">
        <v>29</v>
      </c>
      <c r="G22" s="139"/>
      <c r="H22" s="144" t="s">
        <v>381</v>
      </c>
      <c r="I22" s="138">
        <v>1</v>
      </c>
      <c r="J22" s="160">
        <v>1</v>
      </c>
      <c r="K22" s="175">
        <v>6198</v>
      </c>
      <c r="L22" s="161">
        <v>0.3</v>
      </c>
      <c r="M22" s="161"/>
      <c r="N22" s="161"/>
      <c r="O22" s="161"/>
      <c r="P22" s="168">
        <f t="shared" si="7"/>
        <v>8057.4</v>
      </c>
      <c r="Q22" s="162"/>
      <c r="R22" s="138"/>
      <c r="S22" s="163">
        <v>15</v>
      </c>
      <c r="T22" s="152">
        <v>60</v>
      </c>
      <c r="U22" s="153">
        <f t="shared" si="0"/>
        <v>8057.4</v>
      </c>
      <c r="V22" s="153">
        <f t="shared" si="1"/>
        <v>0</v>
      </c>
      <c r="W22" s="153">
        <f t="shared" si="8"/>
        <v>0</v>
      </c>
      <c r="X22" s="153">
        <f t="shared" si="2"/>
        <v>3594.84</v>
      </c>
      <c r="Y22" s="153">
        <f t="shared" si="3"/>
        <v>929.7</v>
      </c>
      <c r="Z22" s="154">
        <f t="shared" si="4"/>
        <v>7549.164</v>
      </c>
      <c r="AA22" s="154">
        <f t="shared" si="5"/>
        <v>20131.104</v>
      </c>
      <c r="AB22" s="155"/>
      <c r="AC22" s="180">
        <v>11</v>
      </c>
      <c r="AE22" s="91">
        <f t="shared" si="6"/>
        <v>20131.104</v>
      </c>
    </row>
    <row r="23" spans="1:31" ht="39.75" customHeight="1">
      <c r="A23" s="180">
        <v>12</v>
      </c>
      <c r="B23" s="183" t="s">
        <v>397</v>
      </c>
      <c r="C23" s="184" t="s">
        <v>363</v>
      </c>
      <c r="D23" s="185" t="s">
        <v>360</v>
      </c>
      <c r="E23" s="186" t="s">
        <v>398</v>
      </c>
      <c r="F23" s="187">
        <v>14</v>
      </c>
      <c r="G23" s="185"/>
      <c r="H23" s="186" t="s">
        <v>399</v>
      </c>
      <c r="I23" s="138">
        <v>2</v>
      </c>
      <c r="J23" s="160">
        <v>1</v>
      </c>
      <c r="K23" s="175">
        <v>6198</v>
      </c>
      <c r="L23" s="161">
        <v>0.1</v>
      </c>
      <c r="M23" s="188"/>
      <c r="N23" s="188"/>
      <c r="O23" s="188"/>
      <c r="P23" s="168">
        <f t="shared" si="7"/>
        <v>6817.8</v>
      </c>
      <c r="Q23" s="162"/>
      <c r="R23" s="138"/>
      <c r="S23" s="163">
        <v>15</v>
      </c>
      <c r="T23" s="155">
        <v>60</v>
      </c>
      <c r="U23" s="153">
        <f t="shared" si="0"/>
        <v>6817.8</v>
      </c>
      <c r="V23" s="153">
        <f t="shared" si="1"/>
        <v>0</v>
      </c>
      <c r="W23" s="153">
        <f t="shared" si="8"/>
        <v>0</v>
      </c>
      <c r="X23" s="153">
        <f t="shared" si="2"/>
        <v>3099</v>
      </c>
      <c r="Y23" s="153">
        <f t="shared" si="3"/>
        <v>929.7</v>
      </c>
      <c r="Z23" s="154">
        <f t="shared" si="4"/>
        <v>6507.9</v>
      </c>
      <c r="AA23" s="154">
        <f t="shared" si="5"/>
        <v>17354.4</v>
      </c>
      <c r="AB23" s="155"/>
      <c r="AC23" s="180">
        <v>12</v>
      </c>
      <c r="AE23" s="91">
        <f t="shared" si="6"/>
        <v>17354.4</v>
      </c>
    </row>
    <row r="24" spans="1:31" ht="33.75" customHeight="1">
      <c r="A24" s="180">
        <v>13</v>
      </c>
      <c r="B24" s="170" t="s">
        <v>400</v>
      </c>
      <c r="C24" s="156" t="s">
        <v>363</v>
      </c>
      <c r="D24" s="139" t="s">
        <v>367</v>
      </c>
      <c r="E24" s="144" t="s">
        <v>401</v>
      </c>
      <c r="F24" s="138">
        <v>17</v>
      </c>
      <c r="G24" s="139"/>
      <c r="H24" s="144"/>
      <c r="I24" s="138"/>
      <c r="J24" s="160">
        <v>1</v>
      </c>
      <c r="K24" s="175">
        <v>6198</v>
      </c>
      <c r="L24" s="161">
        <v>0.3</v>
      </c>
      <c r="M24" s="188"/>
      <c r="N24" s="188"/>
      <c r="O24" s="188">
        <v>0.3</v>
      </c>
      <c r="P24" s="168">
        <f t="shared" si="7"/>
        <v>9916.8</v>
      </c>
      <c r="Q24" s="162"/>
      <c r="R24" s="138">
        <v>20</v>
      </c>
      <c r="S24" s="163">
        <v>30</v>
      </c>
      <c r="T24" s="155">
        <v>60</v>
      </c>
      <c r="U24" s="153">
        <f t="shared" si="0"/>
        <v>9916.8</v>
      </c>
      <c r="V24" s="153">
        <f t="shared" si="1"/>
        <v>0</v>
      </c>
      <c r="W24" s="153">
        <f t="shared" si="8"/>
        <v>1983.36</v>
      </c>
      <c r="X24" s="153">
        <f t="shared" si="2"/>
        <v>5503.8240000000005</v>
      </c>
      <c r="Y24" s="153">
        <f t="shared" si="3"/>
        <v>1859.4</v>
      </c>
      <c r="Z24" s="154">
        <f t="shared" si="4"/>
        <v>11558.030399999998</v>
      </c>
      <c r="AA24" s="154">
        <f t="shared" si="5"/>
        <v>30821.414399999998</v>
      </c>
      <c r="AB24" s="155"/>
      <c r="AC24" s="180">
        <v>13</v>
      </c>
      <c r="AE24" s="91">
        <f t="shared" si="6"/>
        <v>30821.414399999998</v>
      </c>
    </row>
    <row r="25" spans="1:31" ht="29.25" customHeight="1">
      <c r="A25" s="180">
        <v>14</v>
      </c>
      <c r="B25" s="170" t="s">
        <v>402</v>
      </c>
      <c r="C25" s="156" t="s">
        <v>363</v>
      </c>
      <c r="D25" s="139" t="s">
        <v>367</v>
      </c>
      <c r="E25" s="144" t="s">
        <v>403</v>
      </c>
      <c r="F25" s="138">
        <v>24</v>
      </c>
      <c r="G25" s="139"/>
      <c r="H25" s="144" t="s">
        <v>404</v>
      </c>
      <c r="I25" s="138">
        <v>1</v>
      </c>
      <c r="J25" s="160">
        <v>1</v>
      </c>
      <c r="K25" s="175">
        <v>6198</v>
      </c>
      <c r="L25" s="161">
        <v>0.3</v>
      </c>
      <c r="M25" s="161"/>
      <c r="N25" s="161"/>
      <c r="O25" s="161">
        <v>0.2</v>
      </c>
      <c r="P25" s="168">
        <f>K25+K25*L25+K25*M25+K25*N25+O25*K25</f>
        <v>9297</v>
      </c>
      <c r="Q25" s="162"/>
      <c r="R25" s="138">
        <v>20</v>
      </c>
      <c r="S25" s="163">
        <v>15</v>
      </c>
      <c r="T25" s="155">
        <v>60</v>
      </c>
      <c r="U25" s="153">
        <f t="shared" si="0"/>
        <v>9297</v>
      </c>
      <c r="V25" s="153">
        <f t="shared" si="1"/>
        <v>0</v>
      </c>
      <c r="W25" s="153">
        <f t="shared" si="8"/>
        <v>1859.4</v>
      </c>
      <c r="X25" s="153">
        <f t="shared" si="2"/>
        <v>4834.4400000000005</v>
      </c>
      <c r="Y25" s="153">
        <f t="shared" si="3"/>
        <v>929.7</v>
      </c>
      <c r="Z25" s="154">
        <f t="shared" si="4"/>
        <v>10152.324</v>
      </c>
      <c r="AA25" s="154">
        <f t="shared" si="5"/>
        <v>27072.864</v>
      </c>
      <c r="AB25" s="155"/>
      <c r="AC25" s="180">
        <v>14</v>
      </c>
      <c r="AE25" s="91">
        <f t="shared" si="6"/>
        <v>27072.864</v>
      </c>
    </row>
    <row r="26" spans="1:31" ht="25.5" customHeight="1">
      <c r="A26" s="255">
        <v>15</v>
      </c>
      <c r="B26" s="259" t="s">
        <v>405</v>
      </c>
      <c r="C26" s="156" t="s">
        <v>363</v>
      </c>
      <c r="D26" s="263" t="s">
        <v>367</v>
      </c>
      <c r="E26" s="257" t="s">
        <v>406</v>
      </c>
      <c r="F26" s="265">
        <v>6.5</v>
      </c>
      <c r="G26" s="257"/>
      <c r="H26" s="189" t="s">
        <v>407</v>
      </c>
      <c r="I26" s="187">
        <v>2</v>
      </c>
      <c r="J26" s="190">
        <v>1</v>
      </c>
      <c r="K26" s="175">
        <v>6198</v>
      </c>
      <c r="L26" s="161">
        <v>0.1</v>
      </c>
      <c r="M26" s="161"/>
      <c r="N26" s="161"/>
      <c r="O26" s="161"/>
      <c r="P26" s="168">
        <f aca="true" t="shared" si="9" ref="P26:P43">K26+K26*L26+K26*M26+K26*N26+O26*K26</f>
        <v>6817.8</v>
      </c>
      <c r="Q26" s="162"/>
      <c r="R26" s="138"/>
      <c r="S26" s="163">
        <v>15</v>
      </c>
      <c r="T26" s="155">
        <v>60</v>
      </c>
      <c r="U26" s="153">
        <f t="shared" si="0"/>
        <v>6817.8</v>
      </c>
      <c r="V26" s="153">
        <f t="shared" si="1"/>
        <v>0</v>
      </c>
      <c r="W26" s="153">
        <f t="shared" si="8"/>
        <v>0</v>
      </c>
      <c r="X26" s="153">
        <f t="shared" si="2"/>
        <v>3099</v>
      </c>
      <c r="Y26" s="153">
        <f t="shared" si="3"/>
        <v>929.7</v>
      </c>
      <c r="Z26" s="154">
        <f t="shared" si="4"/>
        <v>6507.9</v>
      </c>
      <c r="AA26" s="154">
        <f t="shared" si="5"/>
        <v>17354.4</v>
      </c>
      <c r="AB26" s="154"/>
      <c r="AC26" s="255">
        <v>15</v>
      </c>
      <c r="AE26" s="91">
        <f t="shared" si="6"/>
        <v>17354.4</v>
      </c>
    </row>
    <row r="27" spans="1:31" ht="21" customHeight="1">
      <c r="A27" s="256"/>
      <c r="B27" s="260"/>
      <c r="C27" s="138" t="s">
        <v>387</v>
      </c>
      <c r="D27" s="264"/>
      <c r="E27" s="258"/>
      <c r="F27" s="266"/>
      <c r="G27" s="258"/>
      <c r="H27" s="189"/>
      <c r="I27" s="187"/>
      <c r="J27" s="190"/>
      <c r="K27" s="175">
        <v>5500</v>
      </c>
      <c r="L27" s="161"/>
      <c r="M27" s="161"/>
      <c r="N27" s="161"/>
      <c r="O27" s="161"/>
      <c r="P27" s="168">
        <f t="shared" si="9"/>
        <v>5500</v>
      </c>
      <c r="Q27" s="162"/>
      <c r="R27" s="138">
        <v>20</v>
      </c>
      <c r="S27" s="163"/>
      <c r="T27" s="155">
        <v>60</v>
      </c>
      <c r="U27" s="153">
        <f t="shared" si="0"/>
        <v>0</v>
      </c>
      <c r="V27" s="153">
        <f t="shared" si="1"/>
        <v>0</v>
      </c>
      <c r="W27" s="153">
        <f t="shared" si="8"/>
        <v>1100</v>
      </c>
      <c r="X27" s="153">
        <f t="shared" si="2"/>
        <v>440</v>
      </c>
      <c r="Y27" s="153">
        <f t="shared" si="3"/>
        <v>0</v>
      </c>
      <c r="Z27" s="154">
        <f t="shared" si="4"/>
        <v>924</v>
      </c>
      <c r="AA27" s="154">
        <f t="shared" si="5"/>
        <v>2464</v>
      </c>
      <c r="AB27" s="154"/>
      <c r="AC27" s="256"/>
      <c r="AE27" s="91" t="e">
        <f t="shared" si="6"/>
        <v>#DIV/0!</v>
      </c>
    </row>
    <row r="28" spans="1:31" ht="29.25" customHeight="1">
      <c r="A28" s="169">
        <v>16</v>
      </c>
      <c r="B28" s="170" t="s">
        <v>408</v>
      </c>
      <c r="C28" s="156" t="s">
        <v>363</v>
      </c>
      <c r="D28" s="139" t="s">
        <v>367</v>
      </c>
      <c r="E28" s="144" t="s">
        <v>409</v>
      </c>
      <c r="F28" s="138">
        <v>26</v>
      </c>
      <c r="G28" s="139"/>
      <c r="H28" s="144" t="s">
        <v>410</v>
      </c>
      <c r="I28" s="138">
        <v>1</v>
      </c>
      <c r="J28" s="160">
        <v>1</v>
      </c>
      <c r="K28" s="175">
        <v>6198</v>
      </c>
      <c r="L28" s="161">
        <v>0.3</v>
      </c>
      <c r="M28" s="191"/>
      <c r="N28" s="191"/>
      <c r="O28" s="191"/>
      <c r="P28" s="168">
        <f t="shared" si="9"/>
        <v>8057.4</v>
      </c>
      <c r="Q28" s="162"/>
      <c r="R28" s="138">
        <v>20</v>
      </c>
      <c r="S28" s="163">
        <v>15</v>
      </c>
      <c r="T28" s="155">
        <v>60</v>
      </c>
      <c r="U28" s="153">
        <f t="shared" si="0"/>
        <v>8057.4</v>
      </c>
      <c r="V28" s="153">
        <f t="shared" si="1"/>
        <v>0</v>
      </c>
      <c r="W28" s="153">
        <f t="shared" si="8"/>
        <v>1611.48</v>
      </c>
      <c r="X28" s="153">
        <f t="shared" si="2"/>
        <v>4239.432</v>
      </c>
      <c r="Y28" s="153">
        <f t="shared" si="3"/>
        <v>929.7</v>
      </c>
      <c r="Z28" s="154">
        <f t="shared" si="4"/>
        <v>8902.8072</v>
      </c>
      <c r="AA28" s="154">
        <f t="shared" si="5"/>
        <v>23740.819199999998</v>
      </c>
      <c r="AB28" s="154"/>
      <c r="AC28" s="169">
        <v>16</v>
      </c>
      <c r="AE28" s="91">
        <f t="shared" si="6"/>
        <v>23740.819199999998</v>
      </c>
    </row>
    <row r="29" spans="1:31" ht="33.75" customHeight="1">
      <c r="A29" s="169">
        <v>17</v>
      </c>
      <c r="B29" s="170" t="s">
        <v>411</v>
      </c>
      <c r="C29" s="156" t="s">
        <v>363</v>
      </c>
      <c r="D29" s="139" t="s">
        <v>367</v>
      </c>
      <c r="E29" s="144" t="s">
        <v>412</v>
      </c>
      <c r="F29" s="138">
        <v>46</v>
      </c>
      <c r="G29" s="159" t="s">
        <v>413</v>
      </c>
      <c r="H29" s="144"/>
      <c r="I29" s="138"/>
      <c r="J29" s="160">
        <v>1</v>
      </c>
      <c r="K29" s="175">
        <v>6198</v>
      </c>
      <c r="L29" s="161"/>
      <c r="M29" s="161"/>
      <c r="N29" s="161">
        <v>0.1</v>
      </c>
      <c r="O29" s="161"/>
      <c r="P29" s="168">
        <f t="shared" si="9"/>
        <v>6817.8</v>
      </c>
      <c r="Q29" s="162"/>
      <c r="R29" s="138">
        <v>20</v>
      </c>
      <c r="S29" s="192">
        <v>15</v>
      </c>
      <c r="T29" s="155">
        <v>60</v>
      </c>
      <c r="U29" s="153">
        <f t="shared" si="0"/>
        <v>6817.8</v>
      </c>
      <c r="V29" s="153">
        <f t="shared" si="1"/>
        <v>0</v>
      </c>
      <c r="W29" s="153">
        <f t="shared" si="8"/>
        <v>1363.56</v>
      </c>
      <c r="X29" s="153">
        <f t="shared" si="2"/>
        <v>3644.424000000001</v>
      </c>
      <c r="Y29" s="153">
        <f t="shared" si="3"/>
        <v>929.7</v>
      </c>
      <c r="Z29" s="154">
        <f t="shared" si="4"/>
        <v>7653.290400000001</v>
      </c>
      <c r="AA29" s="154">
        <f t="shared" si="5"/>
        <v>20408.774400000002</v>
      </c>
      <c r="AB29" s="154"/>
      <c r="AC29" s="169">
        <v>17</v>
      </c>
      <c r="AE29" s="91">
        <f t="shared" si="6"/>
        <v>20408.774400000002</v>
      </c>
    </row>
    <row r="30" spans="1:31" ht="35.25" customHeight="1">
      <c r="A30" s="169">
        <v>18</v>
      </c>
      <c r="B30" s="170" t="s">
        <v>414</v>
      </c>
      <c r="C30" s="156" t="s">
        <v>363</v>
      </c>
      <c r="D30" s="185" t="s">
        <v>415</v>
      </c>
      <c r="E30" s="186" t="s">
        <v>416</v>
      </c>
      <c r="F30" s="187">
        <v>5.6</v>
      </c>
      <c r="G30" s="139"/>
      <c r="H30" s="193"/>
      <c r="I30" s="138"/>
      <c r="J30" s="160">
        <v>1</v>
      </c>
      <c r="K30" s="150">
        <v>6198</v>
      </c>
      <c r="L30" s="161"/>
      <c r="M30" s="161"/>
      <c r="N30" s="161"/>
      <c r="O30" s="161"/>
      <c r="P30" s="168">
        <f t="shared" si="9"/>
        <v>6198</v>
      </c>
      <c r="Q30" s="162"/>
      <c r="R30" s="178"/>
      <c r="S30" s="163">
        <v>15</v>
      </c>
      <c r="T30" s="152">
        <v>60</v>
      </c>
      <c r="U30" s="153">
        <f t="shared" si="0"/>
        <v>6198</v>
      </c>
      <c r="V30" s="153">
        <f t="shared" si="1"/>
        <v>0</v>
      </c>
      <c r="W30" s="153">
        <f t="shared" si="8"/>
        <v>0</v>
      </c>
      <c r="X30" s="153">
        <f t="shared" si="2"/>
        <v>2851.08</v>
      </c>
      <c r="Y30" s="153">
        <f t="shared" si="3"/>
        <v>929.7</v>
      </c>
      <c r="Z30" s="154">
        <f t="shared" si="4"/>
        <v>5987.267999999999</v>
      </c>
      <c r="AA30" s="154">
        <f t="shared" si="5"/>
        <v>15966.047999999999</v>
      </c>
      <c r="AB30" s="155"/>
      <c r="AC30" s="169">
        <v>18</v>
      </c>
      <c r="AE30" s="91">
        <f t="shared" si="6"/>
        <v>15966.047999999999</v>
      </c>
    </row>
    <row r="31" spans="1:31" ht="29.25" customHeight="1">
      <c r="A31" s="169">
        <v>19</v>
      </c>
      <c r="B31" s="170" t="s">
        <v>417</v>
      </c>
      <c r="C31" s="156" t="s">
        <v>363</v>
      </c>
      <c r="D31" s="139" t="s">
        <v>367</v>
      </c>
      <c r="E31" s="144" t="s">
        <v>418</v>
      </c>
      <c r="F31" s="138">
        <v>26.6</v>
      </c>
      <c r="G31" s="139"/>
      <c r="H31" s="144" t="s">
        <v>419</v>
      </c>
      <c r="I31" s="138">
        <v>1</v>
      </c>
      <c r="J31" s="160">
        <v>1</v>
      </c>
      <c r="K31" s="178">
        <v>6198</v>
      </c>
      <c r="L31" s="161">
        <v>0.3</v>
      </c>
      <c r="M31" s="161"/>
      <c r="N31" s="161"/>
      <c r="O31" s="161"/>
      <c r="P31" s="168">
        <f t="shared" si="9"/>
        <v>8057.4</v>
      </c>
      <c r="Q31" s="162"/>
      <c r="R31" s="194"/>
      <c r="S31" s="163">
        <v>15</v>
      </c>
      <c r="T31" s="152">
        <v>60</v>
      </c>
      <c r="U31" s="153">
        <f t="shared" si="0"/>
        <v>8057.4</v>
      </c>
      <c r="V31" s="153">
        <f t="shared" si="1"/>
        <v>0</v>
      </c>
      <c r="W31" s="153">
        <f t="shared" si="8"/>
        <v>0</v>
      </c>
      <c r="X31" s="153">
        <f t="shared" si="2"/>
        <v>3594.84</v>
      </c>
      <c r="Y31" s="153">
        <f t="shared" si="3"/>
        <v>929.7</v>
      </c>
      <c r="Z31" s="154">
        <f t="shared" si="4"/>
        <v>7549.164</v>
      </c>
      <c r="AA31" s="154">
        <f t="shared" si="5"/>
        <v>20131.104</v>
      </c>
      <c r="AB31" s="154"/>
      <c r="AC31" s="169">
        <v>19</v>
      </c>
      <c r="AE31" s="91">
        <f t="shared" si="6"/>
        <v>20131.104</v>
      </c>
    </row>
    <row r="32" spans="1:31" ht="33" customHeight="1">
      <c r="A32" s="169">
        <v>20</v>
      </c>
      <c r="B32" s="170" t="s">
        <v>420</v>
      </c>
      <c r="C32" s="156" t="s">
        <v>363</v>
      </c>
      <c r="D32" s="139"/>
      <c r="E32" s="144"/>
      <c r="F32" s="138"/>
      <c r="G32" s="139"/>
      <c r="H32" s="144"/>
      <c r="I32" s="138"/>
      <c r="J32" s="160">
        <v>1</v>
      </c>
      <c r="K32" s="178">
        <v>6198</v>
      </c>
      <c r="L32" s="161"/>
      <c r="M32" s="182"/>
      <c r="N32" s="182"/>
      <c r="O32" s="161"/>
      <c r="P32" s="168">
        <f t="shared" si="9"/>
        <v>6198</v>
      </c>
      <c r="Q32" s="182"/>
      <c r="R32" s="178">
        <v>20</v>
      </c>
      <c r="S32" s="163">
        <v>30</v>
      </c>
      <c r="T32" s="152">
        <v>60</v>
      </c>
      <c r="U32" s="153">
        <f t="shared" si="0"/>
        <v>6198</v>
      </c>
      <c r="V32" s="153">
        <f t="shared" si="1"/>
        <v>0</v>
      </c>
      <c r="W32" s="153">
        <f t="shared" si="8"/>
        <v>1239.6</v>
      </c>
      <c r="X32" s="153">
        <f t="shared" si="2"/>
        <v>3718.8</v>
      </c>
      <c r="Y32" s="153">
        <f t="shared" si="3"/>
        <v>1859.4</v>
      </c>
      <c r="Z32" s="154">
        <f t="shared" si="4"/>
        <v>7809.48</v>
      </c>
      <c r="AA32" s="154">
        <f t="shared" si="5"/>
        <v>20825.28</v>
      </c>
      <c r="AB32" s="182"/>
      <c r="AC32" s="169">
        <v>20</v>
      </c>
      <c r="AE32" s="91">
        <f t="shared" si="6"/>
        <v>20825.28</v>
      </c>
    </row>
    <row r="33" spans="1:31" ht="39" customHeight="1">
      <c r="A33" s="169">
        <v>21</v>
      </c>
      <c r="B33" s="195" t="s">
        <v>421</v>
      </c>
      <c r="C33" s="156" t="s">
        <v>363</v>
      </c>
      <c r="D33" s="139" t="s">
        <v>367</v>
      </c>
      <c r="E33" s="144" t="s">
        <v>422</v>
      </c>
      <c r="F33" s="138">
        <v>20</v>
      </c>
      <c r="G33" s="139"/>
      <c r="H33" s="143" t="s">
        <v>362</v>
      </c>
      <c r="I33" s="138">
        <v>1</v>
      </c>
      <c r="J33" s="160">
        <v>1</v>
      </c>
      <c r="K33" s="178">
        <v>6198</v>
      </c>
      <c r="L33" s="161">
        <v>0.3</v>
      </c>
      <c r="M33" s="161"/>
      <c r="N33" s="161"/>
      <c r="O33" s="161"/>
      <c r="P33" s="168">
        <f t="shared" si="9"/>
        <v>8057.4</v>
      </c>
      <c r="Q33" s="161"/>
      <c r="R33" s="178">
        <v>20</v>
      </c>
      <c r="S33" s="174">
        <v>22.5</v>
      </c>
      <c r="T33" s="152">
        <v>60</v>
      </c>
      <c r="U33" s="153">
        <f t="shared" si="0"/>
        <v>8057.4</v>
      </c>
      <c r="V33" s="153">
        <f t="shared" si="1"/>
        <v>0</v>
      </c>
      <c r="W33" s="153">
        <f t="shared" si="8"/>
        <v>1611.48</v>
      </c>
      <c r="X33" s="153">
        <f t="shared" si="2"/>
        <v>4425.371999999999</v>
      </c>
      <c r="Y33" s="153">
        <f t="shared" si="3"/>
        <v>1394.55</v>
      </c>
      <c r="Z33" s="154">
        <f t="shared" si="4"/>
        <v>9293.281199999998</v>
      </c>
      <c r="AA33" s="154">
        <f t="shared" si="5"/>
        <v>24782.083199999997</v>
      </c>
      <c r="AB33" s="161"/>
      <c r="AC33" s="169">
        <v>21</v>
      </c>
      <c r="AE33" s="91">
        <f t="shared" si="6"/>
        <v>24782.083199999997</v>
      </c>
    </row>
    <row r="34" spans="1:31" ht="38.25" customHeight="1">
      <c r="A34" s="169">
        <v>22</v>
      </c>
      <c r="B34" s="195" t="s">
        <v>423</v>
      </c>
      <c r="C34" s="156" t="s">
        <v>363</v>
      </c>
      <c r="D34" s="139" t="s">
        <v>367</v>
      </c>
      <c r="E34" s="144" t="s">
        <v>424</v>
      </c>
      <c r="F34" s="138">
        <v>20.2</v>
      </c>
      <c r="G34" s="139"/>
      <c r="H34" s="144" t="s">
        <v>410</v>
      </c>
      <c r="I34" s="138">
        <v>1</v>
      </c>
      <c r="J34" s="160">
        <v>1</v>
      </c>
      <c r="K34" s="178">
        <v>6198</v>
      </c>
      <c r="L34" s="161">
        <v>0.3</v>
      </c>
      <c r="M34" s="161"/>
      <c r="N34" s="161"/>
      <c r="O34" s="161"/>
      <c r="P34" s="168">
        <f t="shared" si="9"/>
        <v>8057.4</v>
      </c>
      <c r="Q34" s="161"/>
      <c r="R34" s="178">
        <v>20</v>
      </c>
      <c r="S34" s="163">
        <v>15</v>
      </c>
      <c r="T34" s="152">
        <v>60</v>
      </c>
      <c r="U34" s="153">
        <f t="shared" si="0"/>
        <v>8057.4</v>
      </c>
      <c r="V34" s="153">
        <f t="shared" si="1"/>
        <v>0</v>
      </c>
      <c r="W34" s="153">
        <f t="shared" si="8"/>
        <v>1611.48</v>
      </c>
      <c r="X34" s="153">
        <f t="shared" si="2"/>
        <v>4239.432</v>
      </c>
      <c r="Y34" s="153">
        <f t="shared" si="3"/>
        <v>929.7</v>
      </c>
      <c r="Z34" s="154">
        <f t="shared" si="4"/>
        <v>8902.8072</v>
      </c>
      <c r="AA34" s="154">
        <f t="shared" si="5"/>
        <v>23740.819199999998</v>
      </c>
      <c r="AB34" s="161"/>
      <c r="AC34" s="169">
        <v>22</v>
      </c>
      <c r="AE34" s="91">
        <f t="shared" si="6"/>
        <v>23740.819199999998</v>
      </c>
    </row>
    <row r="35" spans="1:31" ht="26.25" customHeight="1">
      <c r="A35" s="196">
        <v>23</v>
      </c>
      <c r="B35" s="197" t="s">
        <v>425</v>
      </c>
      <c r="C35" s="156" t="s">
        <v>363</v>
      </c>
      <c r="D35" s="139" t="s">
        <v>367</v>
      </c>
      <c r="E35" s="198" t="s">
        <v>426</v>
      </c>
      <c r="F35" s="138">
        <v>7.3</v>
      </c>
      <c r="G35" s="139"/>
      <c r="H35" s="144" t="s">
        <v>427</v>
      </c>
      <c r="I35" s="138">
        <v>2</v>
      </c>
      <c r="J35" s="160">
        <v>1</v>
      </c>
      <c r="K35" s="178">
        <v>6198</v>
      </c>
      <c r="L35" s="161">
        <v>0.1</v>
      </c>
      <c r="M35" s="161"/>
      <c r="N35" s="161"/>
      <c r="O35" s="161"/>
      <c r="P35" s="168">
        <f t="shared" si="9"/>
        <v>6817.8</v>
      </c>
      <c r="Q35" s="161"/>
      <c r="R35" s="178"/>
      <c r="S35" s="163">
        <v>15</v>
      </c>
      <c r="T35" s="152">
        <v>60</v>
      </c>
      <c r="U35" s="153">
        <f t="shared" si="0"/>
        <v>6817.8</v>
      </c>
      <c r="V35" s="153">
        <f t="shared" si="1"/>
        <v>0</v>
      </c>
      <c r="W35" s="153">
        <f t="shared" si="8"/>
        <v>0</v>
      </c>
      <c r="X35" s="153">
        <f t="shared" si="2"/>
        <v>3099</v>
      </c>
      <c r="Y35" s="153">
        <f t="shared" si="3"/>
        <v>929.7</v>
      </c>
      <c r="Z35" s="154">
        <f t="shared" si="4"/>
        <v>6507.9</v>
      </c>
      <c r="AA35" s="154">
        <f t="shared" si="5"/>
        <v>17354.4</v>
      </c>
      <c r="AB35" s="161"/>
      <c r="AC35" s="196">
        <v>23</v>
      </c>
      <c r="AE35" s="91">
        <f t="shared" si="6"/>
        <v>17354.4</v>
      </c>
    </row>
    <row r="36" spans="1:31" ht="33" customHeight="1">
      <c r="A36" s="169">
        <v>24</v>
      </c>
      <c r="B36" s="195" t="s">
        <v>428</v>
      </c>
      <c r="C36" s="156" t="s">
        <v>363</v>
      </c>
      <c r="D36" s="139" t="s">
        <v>360</v>
      </c>
      <c r="E36" s="144" t="s">
        <v>429</v>
      </c>
      <c r="F36" s="138">
        <v>18</v>
      </c>
      <c r="G36" s="139"/>
      <c r="H36" s="144" t="s">
        <v>430</v>
      </c>
      <c r="I36" s="138">
        <v>1</v>
      </c>
      <c r="J36" s="160">
        <v>1</v>
      </c>
      <c r="K36" s="178">
        <v>6198</v>
      </c>
      <c r="L36" s="161">
        <v>0.3</v>
      </c>
      <c r="M36" s="161"/>
      <c r="N36" s="161"/>
      <c r="O36" s="161"/>
      <c r="P36" s="168">
        <f t="shared" si="9"/>
        <v>8057.4</v>
      </c>
      <c r="Q36" s="161"/>
      <c r="R36" s="178"/>
      <c r="S36" s="163">
        <v>15</v>
      </c>
      <c r="T36" s="152">
        <v>60</v>
      </c>
      <c r="U36" s="153">
        <f t="shared" si="0"/>
        <v>8057.4</v>
      </c>
      <c r="V36" s="153">
        <f t="shared" si="1"/>
        <v>0</v>
      </c>
      <c r="W36" s="153">
        <f t="shared" si="8"/>
        <v>0</v>
      </c>
      <c r="X36" s="153">
        <f t="shared" si="2"/>
        <v>3594.84</v>
      </c>
      <c r="Y36" s="153">
        <f t="shared" si="3"/>
        <v>929.7</v>
      </c>
      <c r="Z36" s="154">
        <f t="shared" si="4"/>
        <v>7549.164</v>
      </c>
      <c r="AA36" s="154">
        <f t="shared" si="5"/>
        <v>20131.104</v>
      </c>
      <c r="AB36" s="161"/>
      <c r="AC36" s="169">
        <v>24</v>
      </c>
      <c r="AE36" s="91">
        <f t="shared" si="6"/>
        <v>20131.104</v>
      </c>
    </row>
    <row r="37" spans="1:31" ht="36.75" customHeight="1">
      <c r="A37" s="169">
        <v>25</v>
      </c>
      <c r="B37" s="195" t="s">
        <v>431</v>
      </c>
      <c r="C37" s="156" t="s">
        <v>363</v>
      </c>
      <c r="D37" s="139" t="s">
        <v>432</v>
      </c>
      <c r="E37" s="144"/>
      <c r="F37" s="138">
        <v>8.8</v>
      </c>
      <c r="G37" s="139"/>
      <c r="H37" s="144" t="s">
        <v>433</v>
      </c>
      <c r="I37" s="138">
        <v>2</v>
      </c>
      <c r="J37" s="160">
        <v>1</v>
      </c>
      <c r="K37" s="178">
        <v>6198</v>
      </c>
      <c r="L37" s="161">
        <v>0.1</v>
      </c>
      <c r="M37" s="161"/>
      <c r="N37" s="161"/>
      <c r="O37" s="161"/>
      <c r="P37" s="168">
        <f t="shared" si="9"/>
        <v>6817.8</v>
      </c>
      <c r="Q37" s="161"/>
      <c r="R37" s="178"/>
      <c r="S37" s="163"/>
      <c r="T37" s="152">
        <v>60</v>
      </c>
      <c r="U37" s="153">
        <f t="shared" si="0"/>
        <v>6817.8</v>
      </c>
      <c r="V37" s="153">
        <f t="shared" si="1"/>
        <v>0</v>
      </c>
      <c r="W37" s="153">
        <f t="shared" si="8"/>
        <v>0</v>
      </c>
      <c r="X37" s="153">
        <f t="shared" si="2"/>
        <v>2727.1200000000003</v>
      </c>
      <c r="Y37" s="153">
        <f t="shared" si="3"/>
        <v>0</v>
      </c>
      <c r="Z37" s="154">
        <f t="shared" si="4"/>
        <v>5726.952</v>
      </c>
      <c r="AA37" s="154">
        <f t="shared" si="5"/>
        <v>15271.872000000001</v>
      </c>
      <c r="AB37" s="161"/>
      <c r="AC37" s="169">
        <v>25</v>
      </c>
      <c r="AE37" s="91">
        <f t="shared" si="6"/>
        <v>15271.872000000001</v>
      </c>
    </row>
    <row r="38" spans="1:31" ht="36.75" customHeight="1">
      <c r="A38" s="169">
        <v>26</v>
      </c>
      <c r="B38" s="195" t="s">
        <v>420</v>
      </c>
      <c r="C38" s="144" t="s">
        <v>434</v>
      </c>
      <c r="D38" s="139" t="s">
        <v>367</v>
      </c>
      <c r="E38" s="144" t="s">
        <v>435</v>
      </c>
      <c r="F38" s="138">
        <v>43</v>
      </c>
      <c r="G38" s="139"/>
      <c r="H38" s="186" t="s">
        <v>436</v>
      </c>
      <c r="I38" s="187" t="s">
        <v>437</v>
      </c>
      <c r="J38" s="190">
        <v>1</v>
      </c>
      <c r="K38" s="178">
        <v>5500</v>
      </c>
      <c r="L38" s="161">
        <v>0.5</v>
      </c>
      <c r="M38" s="161"/>
      <c r="N38" s="161"/>
      <c r="O38" s="161"/>
      <c r="P38" s="168">
        <f t="shared" si="9"/>
        <v>8250</v>
      </c>
      <c r="Q38" s="161"/>
      <c r="R38" s="178">
        <v>20</v>
      </c>
      <c r="S38" s="163"/>
      <c r="T38" s="152">
        <v>60</v>
      </c>
      <c r="U38" s="153">
        <f t="shared" si="0"/>
        <v>8250</v>
      </c>
      <c r="V38" s="153">
        <f t="shared" si="1"/>
        <v>0</v>
      </c>
      <c r="W38" s="153">
        <f t="shared" si="8"/>
        <v>1650</v>
      </c>
      <c r="X38" s="153">
        <f t="shared" si="2"/>
        <v>3960</v>
      </c>
      <c r="Y38" s="153">
        <f t="shared" si="3"/>
        <v>0</v>
      </c>
      <c r="Z38" s="154">
        <f t="shared" si="4"/>
        <v>8316</v>
      </c>
      <c r="AA38" s="154">
        <f t="shared" si="5"/>
        <v>22176</v>
      </c>
      <c r="AB38" s="161"/>
      <c r="AC38" s="169">
        <v>26</v>
      </c>
      <c r="AE38" s="91">
        <f t="shared" si="6"/>
        <v>22176</v>
      </c>
    </row>
    <row r="39" spans="1:31" ht="36.75" customHeight="1">
      <c r="A39" s="169">
        <v>26</v>
      </c>
      <c r="B39" s="195" t="s">
        <v>438</v>
      </c>
      <c r="C39" s="144" t="s">
        <v>363</v>
      </c>
      <c r="D39" s="139" t="s">
        <v>432</v>
      </c>
      <c r="E39" s="144" t="s">
        <v>439</v>
      </c>
      <c r="F39" s="138">
        <v>1.6</v>
      </c>
      <c r="G39" s="139"/>
      <c r="H39" s="186"/>
      <c r="I39" s="187"/>
      <c r="J39" s="190">
        <v>1</v>
      </c>
      <c r="K39" s="178">
        <v>6198</v>
      </c>
      <c r="L39" s="161"/>
      <c r="M39" s="161"/>
      <c r="N39" s="161"/>
      <c r="O39" s="161"/>
      <c r="P39" s="168">
        <f>K39+K39*L39+K39*M39+K39*N39+O39*K39</f>
        <v>6198</v>
      </c>
      <c r="Q39" s="161"/>
      <c r="R39" s="178">
        <v>20</v>
      </c>
      <c r="S39" s="163">
        <v>15</v>
      </c>
      <c r="T39" s="152">
        <v>60</v>
      </c>
      <c r="U39" s="153">
        <f>P39*J39</f>
        <v>6198</v>
      </c>
      <c r="V39" s="153">
        <f>K39*Q39/100</f>
        <v>0</v>
      </c>
      <c r="W39" s="153">
        <f t="shared" si="8"/>
        <v>1239.6</v>
      </c>
      <c r="X39" s="153">
        <f t="shared" si="2"/>
        <v>3346.9200000000005</v>
      </c>
      <c r="Y39" s="153">
        <f>K39*S39/100</f>
        <v>929.7</v>
      </c>
      <c r="Z39" s="154">
        <f t="shared" si="4"/>
        <v>7028.532</v>
      </c>
      <c r="AA39" s="154">
        <f t="shared" si="5"/>
        <v>18742.752000000004</v>
      </c>
      <c r="AB39" s="161"/>
      <c r="AC39" s="169">
        <v>26</v>
      </c>
      <c r="AE39" s="91">
        <f t="shared" si="6"/>
        <v>18742.752000000004</v>
      </c>
    </row>
    <row r="40" spans="1:31" ht="33" customHeight="1">
      <c r="A40" s="169">
        <v>27</v>
      </c>
      <c r="B40" s="195" t="s">
        <v>440</v>
      </c>
      <c r="C40" s="144" t="s">
        <v>363</v>
      </c>
      <c r="D40" s="139"/>
      <c r="E40" s="144"/>
      <c r="F40" s="138"/>
      <c r="G40" s="139"/>
      <c r="H40" s="144"/>
      <c r="I40" s="138"/>
      <c r="J40" s="160">
        <v>1</v>
      </c>
      <c r="K40" s="178">
        <v>6198</v>
      </c>
      <c r="L40" s="161"/>
      <c r="M40" s="161"/>
      <c r="N40" s="161"/>
      <c r="O40" s="161"/>
      <c r="P40" s="168">
        <f>K40+K40*L40+K40*M40+K40*N40+O40*K40</f>
        <v>6198</v>
      </c>
      <c r="Q40" s="161"/>
      <c r="R40" s="178"/>
      <c r="S40" s="163"/>
      <c r="T40" s="152">
        <v>60</v>
      </c>
      <c r="U40" s="153">
        <f>P40*J40</f>
        <v>6198</v>
      </c>
      <c r="V40" s="153">
        <f>K40*Q40/100</f>
        <v>0</v>
      </c>
      <c r="W40" s="153">
        <f t="shared" si="8"/>
        <v>0</v>
      </c>
      <c r="X40" s="153">
        <f t="shared" si="2"/>
        <v>2479.2000000000003</v>
      </c>
      <c r="Y40" s="153">
        <f>K40*S40/100</f>
        <v>0</v>
      </c>
      <c r="Z40" s="154">
        <f t="shared" si="4"/>
        <v>5206.320000000001</v>
      </c>
      <c r="AA40" s="154">
        <f t="shared" si="5"/>
        <v>13883.52</v>
      </c>
      <c r="AB40" s="161"/>
      <c r="AC40" s="169">
        <v>27</v>
      </c>
      <c r="AE40" s="91">
        <f t="shared" si="6"/>
        <v>13883.52</v>
      </c>
    </row>
    <row r="41" spans="1:31" ht="22.5" customHeight="1">
      <c r="A41" s="169">
        <v>27</v>
      </c>
      <c r="B41" s="195" t="s">
        <v>420</v>
      </c>
      <c r="C41" s="144" t="s">
        <v>363</v>
      </c>
      <c r="D41" s="139"/>
      <c r="E41" s="144"/>
      <c r="F41" s="138"/>
      <c r="G41" s="139"/>
      <c r="H41" s="144"/>
      <c r="I41" s="138"/>
      <c r="J41" s="160">
        <v>2</v>
      </c>
      <c r="K41" s="178">
        <v>6198</v>
      </c>
      <c r="L41" s="161"/>
      <c r="M41" s="161"/>
      <c r="N41" s="161"/>
      <c r="O41" s="161"/>
      <c r="P41" s="168">
        <f t="shared" si="9"/>
        <v>6198</v>
      </c>
      <c r="Q41" s="161"/>
      <c r="R41" s="178"/>
      <c r="S41" s="163">
        <v>15</v>
      </c>
      <c r="T41" s="152">
        <v>60</v>
      </c>
      <c r="U41" s="153">
        <f t="shared" si="0"/>
        <v>12396</v>
      </c>
      <c r="V41" s="153">
        <f t="shared" si="1"/>
        <v>0</v>
      </c>
      <c r="W41" s="153">
        <f t="shared" si="8"/>
        <v>0</v>
      </c>
      <c r="X41" s="153">
        <f t="shared" si="2"/>
        <v>5330.280000000001</v>
      </c>
      <c r="Y41" s="153">
        <f t="shared" si="3"/>
        <v>929.7</v>
      </c>
      <c r="Z41" s="154">
        <f t="shared" si="4"/>
        <v>11193.588000000002</v>
      </c>
      <c r="AA41" s="154">
        <f t="shared" si="5"/>
        <v>29849.568</v>
      </c>
      <c r="AB41" s="161"/>
      <c r="AC41" s="169">
        <v>27</v>
      </c>
      <c r="AE41" s="91">
        <f t="shared" si="6"/>
        <v>14924.784</v>
      </c>
    </row>
    <row r="42" spans="1:31" ht="35.25" customHeight="1">
      <c r="A42" s="169">
        <v>28</v>
      </c>
      <c r="B42" s="170" t="s">
        <v>441</v>
      </c>
      <c r="C42" s="156" t="s">
        <v>363</v>
      </c>
      <c r="D42" s="185" t="s">
        <v>442</v>
      </c>
      <c r="E42" s="186"/>
      <c r="F42" s="187">
        <v>1</v>
      </c>
      <c r="G42" s="139"/>
      <c r="H42" s="193"/>
      <c r="I42" s="138"/>
      <c r="J42" s="160">
        <v>1</v>
      </c>
      <c r="K42" s="178">
        <v>6198</v>
      </c>
      <c r="L42" s="161"/>
      <c r="M42" s="161"/>
      <c r="N42" s="161"/>
      <c r="O42" s="161"/>
      <c r="P42" s="168">
        <f t="shared" si="9"/>
        <v>6198</v>
      </c>
      <c r="Q42" s="161"/>
      <c r="R42" s="178"/>
      <c r="S42" s="163"/>
      <c r="T42" s="152">
        <v>60</v>
      </c>
      <c r="U42" s="153">
        <f t="shared" si="0"/>
        <v>6198</v>
      </c>
      <c r="V42" s="153">
        <f t="shared" si="1"/>
        <v>0</v>
      </c>
      <c r="W42" s="153">
        <f t="shared" si="8"/>
        <v>0</v>
      </c>
      <c r="X42" s="153">
        <f t="shared" si="2"/>
        <v>2479.2000000000003</v>
      </c>
      <c r="Y42" s="153">
        <f t="shared" si="3"/>
        <v>0</v>
      </c>
      <c r="Z42" s="154">
        <f t="shared" si="4"/>
        <v>5206.320000000001</v>
      </c>
      <c r="AA42" s="154">
        <f t="shared" si="5"/>
        <v>13883.52</v>
      </c>
      <c r="AB42" s="161"/>
      <c r="AC42" s="169">
        <v>28</v>
      </c>
      <c r="AE42" s="91">
        <f t="shared" si="6"/>
        <v>13883.52</v>
      </c>
    </row>
    <row r="43" spans="1:31" ht="40.5" customHeight="1">
      <c r="A43" s="169">
        <v>29</v>
      </c>
      <c r="B43" s="199" t="s">
        <v>443</v>
      </c>
      <c r="C43" s="156" t="s">
        <v>363</v>
      </c>
      <c r="D43" s="200" t="s">
        <v>444</v>
      </c>
      <c r="E43" s="199"/>
      <c r="F43" s="201">
        <v>3.7</v>
      </c>
      <c r="G43" s="200"/>
      <c r="H43" s="200"/>
      <c r="I43" s="200"/>
      <c r="J43" s="202">
        <v>1</v>
      </c>
      <c r="K43" s="178">
        <v>6198</v>
      </c>
      <c r="L43" s="161"/>
      <c r="M43" s="161"/>
      <c r="N43" s="161"/>
      <c r="O43" s="161"/>
      <c r="P43" s="168">
        <f t="shared" si="9"/>
        <v>6198</v>
      </c>
      <c r="Q43" s="161"/>
      <c r="R43" s="163"/>
      <c r="S43" s="163">
        <v>15</v>
      </c>
      <c r="T43" s="152">
        <v>60</v>
      </c>
      <c r="U43" s="153">
        <f>P43*J43</f>
        <v>6198</v>
      </c>
      <c r="V43" s="153">
        <f t="shared" si="1"/>
        <v>0</v>
      </c>
      <c r="W43" s="153">
        <f t="shared" si="8"/>
        <v>0</v>
      </c>
      <c r="X43" s="153">
        <f t="shared" si="2"/>
        <v>2851.08</v>
      </c>
      <c r="Y43" s="153">
        <f t="shared" si="3"/>
        <v>929.7</v>
      </c>
      <c r="Z43" s="154">
        <f t="shared" si="4"/>
        <v>5987.267999999999</v>
      </c>
      <c r="AA43" s="154">
        <f t="shared" si="5"/>
        <v>15966.047999999999</v>
      </c>
      <c r="AB43" s="161"/>
      <c r="AC43" s="169">
        <v>29</v>
      </c>
      <c r="AE43" s="91">
        <f t="shared" si="6"/>
        <v>15966.047999999999</v>
      </c>
    </row>
    <row r="44" spans="1:29" s="209" customFormat="1" ht="23.25" customHeight="1">
      <c r="A44" s="203"/>
      <c r="B44" s="204" t="s">
        <v>445</v>
      </c>
      <c r="C44" s="203"/>
      <c r="D44" s="205"/>
      <c r="E44" s="206"/>
      <c r="F44" s="203"/>
      <c r="G44" s="205"/>
      <c r="H44" s="203"/>
      <c r="I44" s="203"/>
      <c r="J44" s="207">
        <f>SUM(J9:J43)</f>
        <v>36.75</v>
      </c>
      <c r="K44" s="208"/>
      <c r="L44" s="207"/>
      <c r="M44" s="207"/>
      <c r="N44" s="207"/>
      <c r="O44" s="207"/>
      <c r="P44" s="207">
        <f>SUM(P9:P41)</f>
        <v>258707.94999999992</v>
      </c>
      <c r="Q44" s="207">
        <f>SUM(Q9:Q41)</f>
        <v>0</v>
      </c>
      <c r="R44" s="207"/>
      <c r="S44" s="207"/>
      <c r="T44" s="207"/>
      <c r="U44" s="207">
        <f>SUM(U9:U43)</f>
        <v>286150.8499999999</v>
      </c>
      <c r="V44" s="207">
        <f aca="true" t="shared" si="10" ref="V44:AA44">SUM(V9:V43)</f>
        <v>0</v>
      </c>
      <c r="W44" s="207">
        <f t="shared" si="10"/>
        <v>28045.579999999998</v>
      </c>
      <c r="X44" s="207">
        <f t="shared" si="10"/>
        <v>136375.972</v>
      </c>
      <c r="Y44" s="207">
        <f t="shared" si="10"/>
        <v>26743.50000000001</v>
      </c>
      <c r="Z44" s="207">
        <f t="shared" si="10"/>
        <v>286389.5411999999</v>
      </c>
      <c r="AA44" s="207">
        <f t="shared" si="10"/>
        <v>763705.4432000001</v>
      </c>
      <c r="AB44" s="207"/>
      <c r="AC44" s="203"/>
    </row>
    <row r="45" spans="1:29" ht="12.75">
      <c r="A45" s="210"/>
      <c r="B45" s="211"/>
      <c r="C45" s="212"/>
      <c r="D45" s="213"/>
      <c r="E45" s="212"/>
      <c r="F45" s="212"/>
      <c r="G45" s="213"/>
      <c r="H45" s="212"/>
      <c r="I45" s="212"/>
      <c r="J45" s="214"/>
      <c r="K45" s="214"/>
      <c r="L45" s="109"/>
      <c r="M45" s="109"/>
      <c r="N45" s="109"/>
      <c r="O45" s="109"/>
      <c r="P45" s="109"/>
      <c r="Q45" s="110"/>
      <c r="R45" s="111"/>
      <c r="S45" s="111"/>
      <c r="T45" s="112"/>
      <c r="U45" s="113"/>
      <c r="V45" s="113"/>
      <c r="W45" s="113"/>
      <c r="X45" s="113"/>
      <c r="Y45" s="113"/>
      <c r="Z45" s="113"/>
      <c r="AA45" s="113"/>
      <c r="AB45" s="112"/>
      <c r="AC45" s="210"/>
    </row>
    <row r="46" spans="1:29" ht="12.75">
      <c r="A46" s="215"/>
      <c r="B46" s="216" t="s">
        <v>446</v>
      </c>
      <c r="D46" s="213"/>
      <c r="E46" s="212"/>
      <c r="F46" s="212"/>
      <c r="G46" s="213"/>
      <c r="I46" s="212"/>
      <c r="J46" s="214"/>
      <c r="K46" s="214"/>
      <c r="L46" s="212" t="s">
        <v>447</v>
      </c>
      <c r="AC46" s="215"/>
    </row>
    <row r="47" spans="27:28" ht="12.75">
      <c r="AA47" t="s">
        <v>457</v>
      </c>
      <c r="AB47" t="s">
        <v>458</v>
      </c>
    </row>
    <row r="48" spans="2:28" ht="12.75">
      <c r="B48" s="91" t="s">
        <v>448</v>
      </c>
      <c r="D48" s="262">
        <f>U44-U9-U11-U10-U12-U38</f>
        <v>239627.14999999994</v>
      </c>
      <c r="E48" s="262"/>
      <c r="R48" t="s">
        <v>454</v>
      </c>
      <c r="U48" s="38">
        <f>U44-U9-U11</f>
        <v>255779.59999999992</v>
      </c>
      <c r="X48" s="38">
        <f>X44-X9-X11</f>
        <v>123268.36000000002</v>
      </c>
      <c r="Y48" s="38">
        <f>Y44-Y9-Y11</f>
        <v>26743.50000000001</v>
      </c>
      <c r="Z48">
        <f>(U48+Y48+X48)*0.6</f>
        <v>243474.87599999996</v>
      </c>
      <c r="AA48" s="38">
        <f>U48+W48+Y48+Z48+X48</f>
        <v>649266.3359999999</v>
      </c>
      <c r="AB48">
        <f>AA48*12</f>
        <v>7791196.031999999</v>
      </c>
    </row>
    <row r="49" spans="2:28" ht="12.75">
      <c r="B49" s="91" t="s">
        <v>449</v>
      </c>
      <c r="D49" s="261">
        <v>21</v>
      </c>
      <c r="E49" s="261"/>
      <c r="R49" t="s">
        <v>455</v>
      </c>
      <c r="W49" s="38">
        <f>W44</f>
        <v>28045.579999999998</v>
      </c>
      <c r="X49" s="38"/>
      <c r="Z49">
        <f>W49*0.6</f>
        <v>16827.347999999998</v>
      </c>
      <c r="AA49" s="38">
        <f>U49+W49+Y49+Z49</f>
        <v>44872.928</v>
      </c>
      <c r="AB49">
        <f>AA49*12</f>
        <v>538475.1359999999</v>
      </c>
    </row>
    <row r="50" spans="2:28" ht="12.75">
      <c r="B50" s="91" t="s">
        <v>450</v>
      </c>
      <c r="D50" s="218"/>
      <c r="E50" s="217">
        <v>3</v>
      </c>
      <c r="R50" t="s">
        <v>456</v>
      </c>
      <c r="U50" s="220">
        <f>U9+U11</f>
        <v>30371.25</v>
      </c>
      <c r="Z50">
        <f>U50*0.6</f>
        <v>18222.75</v>
      </c>
      <c r="AA50" s="38">
        <f>U50+W50+Y50+Z50</f>
        <v>48594</v>
      </c>
      <c r="AB50">
        <f>AA50*12</f>
        <v>583128</v>
      </c>
    </row>
    <row r="51" spans="2:5" ht="12.75">
      <c r="B51" s="91" t="s">
        <v>451</v>
      </c>
      <c r="D51" s="261">
        <f>D48/(D49+E50)</f>
        <v>9984.46458333333</v>
      </c>
      <c r="E51" s="261"/>
    </row>
    <row r="52" spans="2:23" ht="12.75">
      <c r="B52" s="91" t="s">
        <v>452</v>
      </c>
      <c r="D52" s="261">
        <v>2.5</v>
      </c>
      <c r="E52" s="261"/>
      <c r="R52" t="s">
        <v>460</v>
      </c>
      <c r="U52">
        <v>17291</v>
      </c>
      <c r="W52">
        <f>AB48/U54*U52</f>
        <v>4060693.5914309137</v>
      </c>
    </row>
    <row r="53" spans="2:23" ht="12.75">
      <c r="B53" s="91" t="s">
        <v>453</v>
      </c>
      <c r="E53" s="91">
        <f>D52*D51</f>
        <v>24961.16145833333</v>
      </c>
      <c r="R53" t="s">
        <v>461</v>
      </c>
      <c r="U53">
        <v>15885</v>
      </c>
      <c r="W53">
        <f>AB48/U54*U53+AB49</f>
        <v>4268977.576569086</v>
      </c>
    </row>
    <row r="54" ht="12.75">
      <c r="U54">
        <f>SUM(U52:U53)</f>
        <v>33176</v>
      </c>
    </row>
    <row r="65" spans="2:27" ht="12.75">
      <c r="B65" s="219"/>
      <c r="AA65">
        <f>AA44/J44</f>
        <v>20781.100495238097</v>
      </c>
    </row>
    <row r="66" spans="2:3" ht="12.75">
      <c r="B66" s="219"/>
      <c r="C66" s="219"/>
    </row>
  </sheetData>
  <sheetProtection/>
  <mergeCells count="19">
    <mergeCell ref="E26:E27"/>
    <mergeCell ref="F26:F27"/>
    <mergeCell ref="G26:G27"/>
    <mergeCell ref="A9:A10"/>
    <mergeCell ref="B9:B10"/>
    <mergeCell ref="AC9:AC10"/>
    <mergeCell ref="A11:A12"/>
    <mergeCell ref="B11:B12"/>
    <mergeCell ref="AC11:AC12"/>
    <mergeCell ref="A17:A18"/>
    <mergeCell ref="B17:B18"/>
    <mergeCell ref="A26:A27"/>
    <mergeCell ref="B26:B27"/>
    <mergeCell ref="D52:E52"/>
    <mergeCell ref="AC26:AC27"/>
    <mergeCell ref="D48:E48"/>
    <mergeCell ref="D49:E49"/>
    <mergeCell ref="D51:E51"/>
    <mergeCell ref="D26:D2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I21" sqref="I21"/>
    </sheetView>
  </sheetViews>
  <sheetFormatPr defaultColWidth="9.140625" defaultRowHeight="12.75"/>
  <sheetData>
    <row r="1" spans="1:5" ht="12.75">
      <c r="A1" s="238" t="s">
        <v>324</v>
      </c>
      <c r="B1" s="238"/>
      <c r="C1" s="238"/>
      <c r="D1" s="238"/>
      <c r="E1" s="238"/>
    </row>
    <row r="2" spans="1:5" ht="12.75">
      <c r="A2" t="s">
        <v>266</v>
      </c>
      <c r="B2" t="s">
        <v>267</v>
      </c>
      <c r="C2" t="s">
        <v>268</v>
      </c>
      <c r="D2" t="s">
        <v>269</v>
      </c>
      <c r="E2" t="s">
        <v>270</v>
      </c>
    </row>
    <row r="3" spans="1:8" ht="12.75">
      <c r="A3">
        <v>1609</v>
      </c>
      <c r="B3">
        <v>110</v>
      </c>
      <c r="C3">
        <f>B3*65*0.5</f>
        <v>3575</v>
      </c>
      <c r="D3">
        <f>B3*184*0.6397</f>
        <v>12947.528</v>
      </c>
      <c r="E3">
        <f>A3/20.75*D3</f>
        <v>1003979.4000963856</v>
      </c>
      <c r="H3">
        <v>20358</v>
      </c>
    </row>
    <row r="4" spans="1:5" ht="12.75">
      <c r="A4">
        <v>804</v>
      </c>
      <c r="B4">
        <v>12</v>
      </c>
      <c r="C4">
        <f>B4*65*0.5</f>
        <v>390</v>
      </c>
      <c r="D4">
        <f>B4*184*0.65</f>
        <v>1435.2</v>
      </c>
      <c r="E4">
        <f>A4/20.75*D4</f>
        <v>55609.67710843374</v>
      </c>
    </row>
    <row r="5" spans="1:5" ht="12.75">
      <c r="A5">
        <v>0</v>
      </c>
      <c r="B5">
        <v>1</v>
      </c>
      <c r="C5">
        <f>B5*65*0.5</f>
        <v>32.5</v>
      </c>
      <c r="D5">
        <f>B5*184*0.65</f>
        <v>119.60000000000001</v>
      </c>
      <c r="E5">
        <f>A5/20.75*D5</f>
        <v>0</v>
      </c>
    </row>
    <row r="6" spans="3:5" ht="12.75">
      <c r="C6" s="267">
        <f>C3+C4+C5+D3+D4+D5</f>
        <v>18499.827999999998</v>
      </c>
      <c r="D6" s="267"/>
      <c r="E6">
        <f>SUM(E3:E5)</f>
        <v>1059589.0772048193</v>
      </c>
    </row>
    <row r="7" spans="1:5" ht="12.75">
      <c r="A7" s="238" t="s">
        <v>325</v>
      </c>
      <c r="B7" s="238"/>
      <c r="C7" s="238"/>
      <c r="D7" s="238"/>
      <c r="E7" s="238"/>
    </row>
    <row r="8" spans="1:5" ht="12.75">
      <c r="A8" t="s">
        <v>266</v>
      </c>
      <c r="B8" t="s">
        <v>267</v>
      </c>
      <c r="C8" t="s">
        <v>268</v>
      </c>
      <c r="D8" t="s">
        <v>269</v>
      </c>
      <c r="E8" t="s">
        <v>270</v>
      </c>
    </row>
    <row r="9" spans="1:5" ht="12.75">
      <c r="A9">
        <v>1609</v>
      </c>
      <c r="B9">
        <v>95</v>
      </c>
      <c r="C9">
        <f>B9*65*0.5</f>
        <v>3087.5</v>
      </c>
      <c r="D9">
        <f>B9*184*0.60125</f>
        <v>10509.849999999999</v>
      </c>
      <c r="E9">
        <f>A9/20.75*D9</f>
        <v>814956.5614457831</v>
      </c>
    </row>
    <row r="10" spans="1:9" ht="12.75">
      <c r="A10">
        <v>804</v>
      </c>
      <c r="B10">
        <v>9</v>
      </c>
      <c r="C10">
        <f>B10*65*0.5</f>
        <v>292.5</v>
      </c>
      <c r="D10">
        <f>B10*184*0.61</f>
        <v>1010.16</v>
      </c>
      <c r="E10">
        <f>A10/20.75*D10</f>
        <v>39140.65734939759</v>
      </c>
      <c r="H10">
        <f>B3+B4+B5+B9+B10</f>
        <v>227</v>
      </c>
      <c r="I10">
        <f>H10*65*0.5+H10*184*0.65</f>
        <v>34526.7</v>
      </c>
    </row>
    <row r="11" spans="1:5" ht="12.75">
      <c r="A11">
        <v>0</v>
      </c>
      <c r="B11">
        <v>0</v>
      </c>
      <c r="C11">
        <f>B11*65*0.5</f>
        <v>0</v>
      </c>
      <c r="D11">
        <f>B11*184*0.65</f>
        <v>0</v>
      </c>
      <c r="E11">
        <f>A11/20.75*D11</f>
        <v>0</v>
      </c>
    </row>
    <row r="12" spans="3:5" ht="12.75">
      <c r="C12" s="267">
        <f>C9+C10+C11+D9+D10+D11</f>
        <v>14900.009999999998</v>
      </c>
      <c r="D12" s="267"/>
      <c r="E12">
        <f>SUM(E9:E11)</f>
        <v>854097.2187951807</v>
      </c>
    </row>
    <row r="14" ht="12.75">
      <c r="C14">
        <f>C6+C12</f>
        <v>33399.837999999996</v>
      </c>
    </row>
    <row r="15" spans="1:5" ht="12.75">
      <c r="A15" s="238" t="s">
        <v>481</v>
      </c>
      <c r="B15" s="238"/>
      <c r="C15" s="238"/>
      <c r="D15" s="238"/>
      <c r="E15" s="238"/>
    </row>
    <row r="16" spans="1:5" ht="12.75">
      <c r="A16">
        <v>30</v>
      </c>
      <c r="C16">
        <v>800</v>
      </c>
      <c r="E16">
        <f>A16*100*12</f>
        <v>36000</v>
      </c>
    </row>
    <row r="19" spans="1:5" ht="12.75">
      <c r="A19" t="s">
        <v>266</v>
      </c>
      <c r="B19" t="s">
        <v>267</v>
      </c>
      <c r="C19" t="s">
        <v>268</v>
      </c>
      <c r="D19" t="s">
        <v>269</v>
      </c>
      <c r="E19" t="s">
        <v>270</v>
      </c>
    </row>
    <row r="20" spans="1:9" ht="12.75">
      <c r="A20">
        <v>1355</v>
      </c>
      <c r="B20">
        <v>138</v>
      </c>
      <c r="C20">
        <f>B20*65*0.5</f>
        <v>4485</v>
      </c>
      <c r="D20">
        <f>B20*184*0.6</f>
        <v>15235.199999999999</v>
      </c>
      <c r="E20">
        <f>A20/20.75*D20</f>
        <v>994876.9156626505</v>
      </c>
      <c r="I20">
        <f>B3+B4+B5+B9+B10+B11</f>
        <v>227</v>
      </c>
    </row>
    <row r="21" spans="1:5" ht="12.75">
      <c r="A21">
        <v>678</v>
      </c>
      <c r="B21">
        <v>14</v>
      </c>
      <c r="C21">
        <f>B21*65*0.5</f>
        <v>455</v>
      </c>
      <c r="D21">
        <f>B21*184*0.6</f>
        <v>1545.6</v>
      </c>
      <c r="E21">
        <f>A21/20.75*D21</f>
        <v>50502.01445783133</v>
      </c>
    </row>
    <row r="22" spans="1:5" ht="12.75">
      <c r="A22">
        <v>0</v>
      </c>
      <c r="B22">
        <v>0</v>
      </c>
      <c r="C22">
        <f>B22*65*0.5</f>
        <v>0</v>
      </c>
      <c r="D22">
        <f>B22*184*0.65</f>
        <v>0</v>
      </c>
      <c r="E22">
        <f>A22/20.75*D22</f>
        <v>0</v>
      </c>
    </row>
    <row r="23" spans="3:5" ht="12.75">
      <c r="C23" s="238">
        <f>C20+C21+C22+D20+D21+D22</f>
        <v>21720.799999999996</v>
      </c>
      <c r="D23" s="238"/>
      <c r="E23">
        <f>SUM(E20:E22)</f>
        <v>1045378.9301204818</v>
      </c>
    </row>
    <row r="25" spans="1:5" ht="12.75">
      <c r="A25" t="s">
        <v>266</v>
      </c>
      <c r="B25" t="s">
        <v>267</v>
      </c>
      <c r="C25" t="s">
        <v>268</v>
      </c>
      <c r="D25" t="s">
        <v>269</v>
      </c>
      <c r="E25" t="s">
        <v>270</v>
      </c>
    </row>
    <row r="26" spans="1:5" ht="12.75">
      <c r="A26">
        <v>1355</v>
      </c>
      <c r="B26">
        <v>75</v>
      </c>
      <c r="C26">
        <f>B26*65*0.5</f>
        <v>2437.5</v>
      </c>
      <c r="D26">
        <f>B26*184*0.58455</f>
        <v>8066.79</v>
      </c>
      <c r="E26">
        <f>A26/20.75*D26</f>
        <v>526771.1060240964</v>
      </c>
    </row>
    <row r="27" spans="1:5" ht="12.75">
      <c r="A27">
        <v>678</v>
      </c>
      <c r="C27">
        <f>B27*65*0.5</f>
        <v>0</v>
      </c>
      <c r="D27">
        <f>B27*184*0.65</f>
        <v>0</v>
      </c>
      <c r="E27">
        <f>A27/20.75*D27</f>
        <v>0</v>
      </c>
    </row>
    <row r="28" spans="1:5" ht="12.75">
      <c r="A28">
        <v>0</v>
      </c>
      <c r="B28">
        <v>0</v>
      </c>
      <c r="C28">
        <f>B28*65*0.5</f>
        <v>0</v>
      </c>
      <c r="D28">
        <f>B28*184*0.65</f>
        <v>0</v>
      </c>
      <c r="E28">
        <f>A28/20.75*D28</f>
        <v>0</v>
      </c>
    </row>
    <row r="29" spans="3:5" ht="12.75">
      <c r="C29" s="238">
        <f>C26+C27+C28+D26+D27+D28</f>
        <v>10504.29</v>
      </c>
      <c r="D29" s="238"/>
      <c r="E29">
        <f>SUM(E26:E28)</f>
        <v>526771.1060240964</v>
      </c>
    </row>
    <row r="31" ht="12.75">
      <c r="C31">
        <f>C23+C29</f>
        <v>32225.089999999997</v>
      </c>
    </row>
  </sheetData>
  <sheetProtection/>
  <mergeCells count="7">
    <mergeCell ref="C23:D23"/>
    <mergeCell ref="C29:D29"/>
    <mergeCell ref="A1:E1"/>
    <mergeCell ref="A7:E7"/>
    <mergeCell ref="C6:D6"/>
    <mergeCell ref="C12:D12"/>
    <mergeCell ref="A15:E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view="pageBreakPreview" zoomScale="60" zoomScalePageLayoutView="0" workbookViewId="0" topLeftCell="A8">
      <selection activeCell="A61" sqref="A61:IV61"/>
    </sheetView>
  </sheetViews>
  <sheetFormatPr defaultColWidth="9.140625" defaultRowHeight="12.75"/>
  <cols>
    <col min="1" max="1" width="42.8515625" style="0" customWidth="1"/>
    <col min="2" max="2" width="22.28125" style="0" customWidth="1"/>
    <col min="3" max="3" width="14.7109375" style="0" customWidth="1"/>
    <col min="4" max="4" width="17.421875" style="0" customWidth="1"/>
    <col min="5" max="6" width="13.421875" style="0" customWidth="1"/>
    <col min="7" max="7" width="15.7109375" style="0" customWidth="1"/>
    <col min="8" max="8" width="18.7109375" style="0" customWidth="1"/>
  </cols>
  <sheetData>
    <row r="1" ht="12.75">
      <c r="G1" t="s">
        <v>467</v>
      </c>
    </row>
    <row r="2" ht="12.75">
      <c r="G2" t="s">
        <v>464</v>
      </c>
    </row>
    <row r="3" spans="1:8" ht="12.75">
      <c r="A3" s="222"/>
      <c r="B3" s="222"/>
      <c r="C3" s="222"/>
      <c r="D3" s="222"/>
      <c r="E3" s="222"/>
      <c r="F3" s="222"/>
      <c r="G3" s="222" t="s">
        <v>465</v>
      </c>
      <c r="H3" s="222"/>
    </row>
    <row r="5" ht="12.75">
      <c r="G5" t="s">
        <v>490</v>
      </c>
    </row>
    <row r="8" spans="1:8" ht="12.75">
      <c r="A8" s="238" t="s">
        <v>468</v>
      </c>
      <c r="B8" s="238"/>
      <c r="C8" s="238"/>
      <c r="D8" s="238"/>
      <c r="E8" s="238"/>
      <c r="F8" s="238"/>
      <c r="G8" s="238"/>
      <c r="H8" s="238"/>
    </row>
    <row r="9" spans="1:8" ht="12.75">
      <c r="A9" s="238" t="s">
        <v>483</v>
      </c>
      <c r="B9" s="238"/>
      <c r="C9" s="238"/>
      <c r="D9" s="238"/>
      <c r="E9" s="238"/>
      <c r="F9" s="238"/>
      <c r="G9" s="238"/>
      <c r="H9" s="238"/>
    </row>
    <row r="10" spans="1:8" ht="12.75">
      <c r="A10" s="238" t="s">
        <v>469</v>
      </c>
      <c r="B10" s="238"/>
      <c r="C10" s="238"/>
      <c r="D10" s="238"/>
      <c r="E10" s="238"/>
      <c r="F10" s="238"/>
      <c r="G10" s="238"/>
      <c r="H10" s="238"/>
    </row>
    <row r="13" spans="1:14" ht="78.75" customHeight="1">
      <c r="A13" s="42" t="s">
        <v>472</v>
      </c>
      <c r="B13" s="42" t="s">
        <v>473</v>
      </c>
      <c r="C13" s="42" t="s">
        <v>242</v>
      </c>
      <c r="D13" s="42" t="s">
        <v>474</v>
      </c>
      <c r="E13" s="42" t="s">
        <v>475</v>
      </c>
      <c r="F13" s="42" t="s">
        <v>88</v>
      </c>
      <c r="G13" s="42" t="s">
        <v>250</v>
      </c>
      <c r="H13" s="42" t="s">
        <v>476</v>
      </c>
      <c r="I13" s="68"/>
      <c r="J13" s="68"/>
      <c r="K13" s="68"/>
      <c r="L13" s="68"/>
      <c r="M13" s="68"/>
      <c r="N13" s="68"/>
    </row>
    <row r="14" spans="1:8" ht="12.75">
      <c r="A14" s="6"/>
      <c r="B14" s="32" t="s">
        <v>243</v>
      </c>
      <c r="C14" s="32" t="s">
        <v>243</v>
      </c>
      <c r="D14" s="32" t="s">
        <v>243</v>
      </c>
      <c r="E14" s="32" t="s">
        <v>244</v>
      </c>
      <c r="F14" s="32" t="s">
        <v>245</v>
      </c>
      <c r="G14" s="32" t="s">
        <v>245</v>
      </c>
      <c r="H14" s="32" t="s">
        <v>245</v>
      </c>
    </row>
    <row r="15" spans="1:8" ht="9.75" customHeight="1">
      <c r="A15" s="69">
        <v>1</v>
      </c>
      <c r="B15" s="69">
        <v>2</v>
      </c>
      <c r="C15" s="69">
        <v>3</v>
      </c>
      <c r="D15" s="69">
        <v>4</v>
      </c>
      <c r="E15" s="69">
        <v>5</v>
      </c>
      <c r="F15" s="69">
        <v>6</v>
      </c>
      <c r="G15" s="69">
        <v>7</v>
      </c>
      <c r="H15" s="69">
        <v>8</v>
      </c>
    </row>
    <row r="16" spans="1:8" ht="12.75">
      <c r="A16" s="32" t="s">
        <v>247</v>
      </c>
      <c r="B16" s="6"/>
      <c r="C16" s="6"/>
      <c r="D16" s="6"/>
      <c r="E16" s="6"/>
      <c r="F16" s="6"/>
      <c r="G16" s="6"/>
      <c r="H16" s="6"/>
    </row>
    <row r="17" spans="1:8" ht="39.75" customHeight="1">
      <c r="A17" s="15" t="str">
        <f>'По кодам'!C5</f>
        <v>Реализация общеобразовательной программы дошкольного образования в группах общеразвивающей направленности</v>
      </c>
      <c r="B17" s="27">
        <f>кальк!D5/Утверждаю!E17</f>
        <v>305.6302591543769</v>
      </c>
      <c r="C17" s="27">
        <f>кальк!D22/Утверждаю!E17</f>
        <v>68.50848075410133</v>
      </c>
      <c r="D17" s="27">
        <f>B17+C17</f>
        <v>374.1387399084782</v>
      </c>
      <c r="E17" s="27">
        <f>кальк!D68</f>
        <v>18499.827999999998</v>
      </c>
      <c r="F17" s="27">
        <f>кальк!D62</f>
        <v>198481.64352127284</v>
      </c>
      <c r="G17" s="27"/>
      <c r="H17" s="27">
        <f>D17*E17+F17-G17</f>
        <v>7119983.979964854</v>
      </c>
    </row>
    <row r="18" spans="1:8" ht="39.75" customHeight="1">
      <c r="A18" s="15" t="str">
        <f>'По кодам'!D5</f>
        <v>Реализация общеобразовательной программы дошкольного образования в компенсирующих группах</v>
      </c>
      <c r="B18" s="27">
        <f>кальк!E5/Утверждаю!E18</f>
        <v>398.9340756850768</v>
      </c>
      <c r="C18" s="27">
        <f>кальк!E22/Утверждаю!E18</f>
        <v>89.42297638278492</v>
      </c>
      <c r="D18" s="27">
        <f>B18+C18</f>
        <v>488.3570520678617</v>
      </c>
      <c r="E18" s="27">
        <f>кальк!E68</f>
        <v>14900.009999999998</v>
      </c>
      <c r="F18" s="27">
        <f>кальк!E62</f>
        <v>208662.30521331084</v>
      </c>
      <c r="G18" s="27"/>
      <c r="H18" s="27">
        <f>D18*E18+F18-G18</f>
        <v>7485187.264594969</v>
      </c>
    </row>
    <row r="19" spans="1:8" ht="50.25" customHeight="1">
      <c r="A19" s="224" t="str">
        <f>'По кодам'!E5</f>
        <v>Присмотр и уход за детьми, осваивающими образовательные программы в образовательных организациях в группах полного дня</v>
      </c>
      <c r="B19" s="27">
        <f>кальк!F5/E19</f>
        <v>169.35485828209477</v>
      </c>
      <c r="C19" s="27">
        <f>кальк!F22/E19</f>
        <v>22.270865506832045</v>
      </c>
      <c r="D19" s="27">
        <f>B19+C19</f>
        <v>191.62572378892682</v>
      </c>
      <c r="E19" s="27">
        <f>кальк!F68</f>
        <v>33399.837999999996</v>
      </c>
      <c r="F19" s="27">
        <f>кальк!F62</f>
        <v>116490.3032160786</v>
      </c>
      <c r="G19" s="27">
        <f>'род плата'!E6+'род плата'!E12</f>
        <v>1913686.296</v>
      </c>
      <c r="H19" s="27">
        <f>D19*E19+F19-G19</f>
        <v>4603072.13839898</v>
      </c>
    </row>
    <row r="20" spans="1:8" ht="53.25" customHeight="1">
      <c r="A20" s="224" t="str">
        <f>'По кодам'!F5</f>
        <v>Присмотр и уход за детьми, осваивающими образовательные программы в образовательных организациях в группах кратковременного пребывания</v>
      </c>
      <c r="B20" s="27">
        <f>кальк!G5/E20</f>
        <v>362.46383616255815</v>
      </c>
      <c r="C20" s="27">
        <f>кальк!G22/E20</f>
        <v>81.24799819397967</v>
      </c>
      <c r="D20" s="27">
        <f>B20+C20</f>
        <v>443.7118343565378</v>
      </c>
      <c r="E20" s="27">
        <f>кальк!G68</f>
        <v>800</v>
      </c>
      <c r="F20" s="27">
        <f>кальк!G62</f>
        <v>10179.137401337754</v>
      </c>
      <c r="G20" s="32">
        <f>'род плата'!E16</f>
        <v>36000</v>
      </c>
      <c r="H20" s="27">
        <f>D20*E20+F20-G20</f>
        <v>329148.604886568</v>
      </c>
    </row>
    <row r="21" spans="1:10" ht="12.75">
      <c r="A21" s="70" t="s">
        <v>246</v>
      </c>
      <c r="B21" s="6"/>
      <c r="C21" s="6"/>
      <c r="D21" s="6"/>
      <c r="E21" s="6"/>
      <c r="F21" s="6"/>
      <c r="G21" s="6"/>
      <c r="H21" s="27">
        <f>H17+H18+H19+H20</f>
        <v>19537391.987845372</v>
      </c>
      <c r="J21" s="43">
        <f>H21+G17+G18</f>
        <v>19537391.987845372</v>
      </c>
    </row>
    <row r="22" ht="12.75">
      <c r="G22" t="s">
        <v>467</v>
      </c>
    </row>
    <row r="23" ht="12.75">
      <c r="G23" t="s">
        <v>464</v>
      </c>
    </row>
    <row r="24" ht="12.75">
      <c r="G24" s="222" t="s">
        <v>465</v>
      </c>
    </row>
    <row r="25" ht="12.75">
      <c r="H25" s="38"/>
    </row>
    <row r="26" ht="12.75">
      <c r="G26" t="str">
        <f>G5</f>
        <v>от_______2015 г. №______</v>
      </c>
    </row>
    <row r="29" spans="1:8" ht="12.75">
      <c r="A29" s="238" t="s">
        <v>468</v>
      </c>
      <c r="B29" s="238"/>
      <c r="C29" s="238"/>
      <c r="D29" s="238"/>
      <c r="E29" s="238"/>
      <c r="F29" s="238"/>
      <c r="G29" s="238"/>
      <c r="H29" s="238"/>
    </row>
    <row r="30" spans="1:8" ht="12.75">
      <c r="A30" s="238" t="str">
        <f>A9</f>
        <v>муниципальной бюджетной дошкольной образовательной организации "Детский сад № 15"</v>
      </c>
      <c r="B30" s="238"/>
      <c r="C30" s="238"/>
      <c r="D30" s="238"/>
      <c r="E30" s="238"/>
      <c r="F30" s="238"/>
      <c r="G30" s="238"/>
      <c r="H30" s="238"/>
    </row>
    <row r="31" spans="1:8" ht="12.75">
      <c r="A31" s="238" t="s">
        <v>478</v>
      </c>
      <c r="B31" s="238"/>
      <c r="C31" s="238"/>
      <c r="D31" s="238"/>
      <c r="E31" s="238"/>
      <c r="F31" s="238"/>
      <c r="G31" s="238"/>
      <c r="H31" s="238"/>
    </row>
    <row r="34" spans="1:8" ht="77.25" customHeight="1">
      <c r="A34" s="42" t="str">
        <f>A13</f>
        <v>Наименование муниципальной услуги (работы)</v>
      </c>
      <c r="B34" s="42" t="str">
        <f aca="true" t="shared" si="0" ref="B34:H34">B13</f>
        <v>Нормативные затраты, непосредственно связанные с оказанием муниципальной услуги, работы</v>
      </c>
      <c r="C34" s="42" t="str">
        <f t="shared" si="0"/>
        <v>Нормативные затраты на общехозяйственные нужды</v>
      </c>
      <c r="D34" s="42" t="str">
        <f t="shared" si="0"/>
        <v>Итого нормативные затраты на оказание муниципальной услуги, работы.</v>
      </c>
      <c r="E34" s="42" t="str">
        <f t="shared" si="0"/>
        <v>Объем муниципальной услуги, работы</v>
      </c>
      <c r="F34" s="42" t="str">
        <f t="shared" si="0"/>
        <v>Затраты на содержание имущества</v>
      </c>
      <c r="G34" s="42" t="str">
        <f t="shared" si="0"/>
        <v>Доходы от оказания услуг, выполнения работ</v>
      </c>
      <c r="H34" s="42" t="str">
        <f t="shared" si="0"/>
        <v>Сумма финансового обеспечения выполнения муниципального задания</v>
      </c>
    </row>
    <row r="35" spans="1:8" ht="12.75">
      <c r="A35" s="6"/>
      <c r="B35" s="32" t="s">
        <v>243</v>
      </c>
      <c r="C35" s="32" t="s">
        <v>243</v>
      </c>
      <c r="D35" s="32" t="s">
        <v>243</v>
      </c>
      <c r="E35" s="32" t="s">
        <v>244</v>
      </c>
      <c r="F35" s="32" t="s">
        <v>245</v>
      </c>
      <c r="G35" s="32" t="s">
        <v>245</v>
      </c>
      <c r="H35" s="32" t="s">
        <v>245</v>
      </c>
    </row>
    <row r="36" spans="1:8" ht="12.75">
      <c r="A36" s="69">
        <v>1</v>
      </c>
      <c r="B36" s="69">
        <v>2</v>
      </c>
      <c r="C36" s="69">
        <v>3</v>
      </c>
      <c r="D36" s="69">
        <v>4</v>
      </c>
      <c r="E36" s="69">
        <v>5</v>
      </c>
      <c r="F36" s="69">
        <v>6</v>
      </c>
      <c r="G36" s="69">
        <v>7</v>
      </c>
      <c r="H36" s="69">
        <v>8</v>
      </c>
    </row>
    <row r="37" spans="1:8" ht="12.75">
      <c r="A37" s="32" t="str">
        <f>A16</f>
        <v>Услуги</v>
      </c>
      <c r="B37" s="6"/>
      <c r="C37" s="6"/>
      <c r="D37" s="6"/>
      <c r="E37" s="6"/>
      <c r="F37" s="6"/>
      <c r="G37" s="6"/>
      <c r="H37" s="6"/>
    </row>
    <row r="38" spans="1:8" ht="42" customHeight="1">
      <c r="A38" s="15" t="str">
        <f>A17</f>
        <v>Реализация общеобразовательной программы дошкольного образования в группах общеразвивающей направленности</v>
      </c>
      <c r="B38" s="27">
        <f>кальк!D77/Утверждаю!E38</f>
        <v>320.93040322131367</v>
      </c>
      <c r="C38" s="27">
        <f>кальк!D92/Утверждаю!E38</f>
        <v>73.10805069462742</v>
      </c>
      <c r="D38" s="27">
        <f>B38+C38</f>
        <v>394.0384539159411</v>
      </c>
      <c r="E38" s="27">
        <f>кальк!D138</f>
        <v>18499.827999999998</v>
      </c>
      <c r="F38" s="27">
        <f>кальк!D132</f>
        <v>219322.2160910065</v>
      </c>
      <c r="G38" s="27">
        <f>G17</f>
        <v>0</v>
      </c>
      <c r="H38" s="27">
        <f>D38*E38+F38-G38</f>
        <v>7508965.838921842</v>
      </c>
    </row>
    <row r="39" spans="1:8" ht="38.25">
      <c r="A39" s="15" t="str">
        <f>A18</f>
        <v>Реализация общеобразовательной программы дошкольного образования в компенсирующих группах</v>
      </c>
      <c r="B39" s="27">
        <f>кальк!E77/Утверждаю!E39</f>
        <v>418.9050983452018</v>
      </c>
      <c r="C39" s="27">
        <f>кальк!E92/Утверждаю!E39</f>
        <v>95.42671824999908</v>
      </c>
      <c r="D39" s="27">
        <f>B39+C39</f>
        <v>514.3318165952008</v>
      </c>
      <c r="E39" s="27">
        <f>кальк!E138</f>
        <v>14900.009999999998</v>
      </c>
      <c r="F39" s="27">
        <f>кальк!E132</f>
        <v>230571.84726070848</v>
      </c>
      <c r="G39" s="27">
        <f>G18</f>
        <v>0</v>
      </c>
      <c r="H39" s="27">
        <f>D39*E39+F39-G39</f>
        <v>7894121.057847367</v>
      </c>
    </row>
    <row r="40" spans="1:8" ht="51" customHeight="1">
      <c r="A40" s="15" t="str">
        <f>A19</f>
        <v>Присмотр и уход за детьми, осваивающими образовательные программы в образовательных организациях в группах полного дня</v>
      </c>
      <c r="B40" s="27">
        <f>кальк!F77/E40</f>
        <v>177.82865783215274</v>
      </c>
      <c r="C40" s="27">
        <f>кальк!F92/E40</f>
        <v>23.766102336012384</v>
      </c>
      <c r="D40" s="27">
        <f>B40+C40</f>
        <v>201.59476016816512</v>
      </c>
      <c r="E40" s="27">
        <f>кальк!F138</f>
        <v>33399.837999999996</v>
      </c>
      <c r="F40" s="27">
        <f>кальк!F132</f>
        <v>128721.78505376684</v>
      </c>
      <c r="G40" s="27">
        <f>G19</f>
        <v>1913686.296</v>
      </c>
      <c r="H40" s="27">
        <f>D40*E40+F40-G40</f>
        <v>4948267.820319334</v>
      </c>
    </row>
    <row r="41" spans="1:8" ht="51" customHeight="1">
      <c r="A41" s="15" t="str">
        <f>A20</f>
        <v>Присмотр и уход за детьми, осваивающими образовательные программы в образовательных организациях в группах кратковременного пребывания</v>
      </c>
      <c r="B41" s="27">
        <f>кальк!G77/E41</f>
        <v>380.6091236340466</v>
      </c>
      <c r="C41" s="27">
        <f>кальк!G92/E41</f>
        <v>86.70288270035626</v>
      </c>
      <c r="D41" s="27">
        <f>B41+C41</f>
        <v>467.3120063344029</v>
      </c>
      <c r="E41" s="27">
        <f>кальк!G138</f>
        <v>800</v>
      </c>
      <c r="F41" s="27">
        <f>кальк!G132</f>
        <v>11247.946828478216</v>
      </c>
      <c r="G41" s="27">
        <f>G20</f>
        <v>36000</v>
      </c>
      <c r="H41" s="27">
        <f>D41*E41+F41-G41</f>
        <v>349097.5518960005</v>
      </c>
    </row>
    <row r="42" spans="1:10" ht="12.75">
      <c r="A42" s="70" t="s">
        <v>246</v>
      </c>
      <c r="B42" s="6"/>
      <c r="C42" s="6"/>
      <c r="D42" s="6"/>
      <c r="E42" s="6"/>
      <c r="F42" s="6"/>
      <c r="G42" s="6"/>
      <c r="H42" s="27">
        <f>H38+H39+H40+H41</f>
        <v>20700452.268984545</v>
      </c>
      <c r="J42" s="43">
        <f>H42+G38+G39</f>
        <v>20700452.268984545</v>
      </c>
    </row>
    <row r="43" ht="12.75">
      <c r="G43" t="s">
        <v>467</v>
      </c>
    </row>
    <row r="44" ht="12.75">
      <c r="G44" t="s">
        <v>464</v>
      </c>
    </row>
    <row r="45" ht="12.75">
      <c r="G45" s="222" t="s">
        <v>465</v>
      </c>
    </row>
    <row r="47" spans="1:8" ht="12.75">
      <c r="A47" s="222"/>
      <c r="B47" s="222"/>
      <c r="C47" s="222"/>
      <c r="D47" s="222"/>
      <c r="E47" s="222"/>
      <c r="F47" s="222"/>
      <c r="G47" t="str">
        <f>G26</f>
        <v>от_______2015 г. №______</v>
      </c>
      <c r="H47" s="222"/>
    </row>
    <row r="50" spans="1:8" ht="12.75">
      <c r="A50" s="238" t="s">
        <v>468</v>
      </c>
      <c r="B50" s="238"/>
      <c r="C50" s="238"/>
      <c r="D50" s="238"/>
      <c r="E50" s="238"/>
      <c r="F50" s="238"/>
      <c r="G50" s="238"/>
      <c r="H50" s="238"/>
    </row>
    <row r="51" spans="1:8" ht="12.75">
      <c r="A51" s="238" t="str">
        <f>A30</f>
        <v>муниципальной бюджетной дошкольной образовательной организации "Детский сад № 15"</v>
      </c>
      <c r="B51" s="238"/>
      <c r="C51" s="238"/>
      <c r="D51" s="238"/>
      <c r="E51" s="238"/>
      <c r="F51" s="238"/>
      <c r="G51" s="238"/>
      <c r="H51" s="238"/>
    </row>
    <row r="52" spans="1:8" ht="12.75">
      <c r="A52" s="238" t="s">
        <v>482</v>
      </c>
      <c r="B52" s="238"/>
      <c r="C52" s="238"/>
      <c r="D52" s="238"/>
      <c r="E52" s="238"/>
      <c r="F52" s="238"/>
      <c r="G52" s="238"/>
      <c r="H52" s="238"/>
    </row>
    <row r="55" spans="1:8" ht="87.75" customHeight="1">
      <c r="A55" s="42" t="str">
        <f>A34</f>
        <v>Наименование муниципальной услуги (работы)</v>
      </c>
      <c r="B55" s="42" t="str">
        <f aca="true" t="shared" si="1" ref="B55:H55">B34</f>
        <v>Нормативные затраты, непосредственно связанные с оказанием муниципальной услуги, работы</v>
      </c>
      <c r="C55" s="42" t="str">
        <f t="shared" si="1"/>
        <v>Нормативные затраты на общехозяйственные нужды</v>
      </c>
      <c r="D55" s="42" t="str">
        <f t="shared" si="1"/>
        <v>Итого нормативные затраты на оказание муниципальной услуги, работы.</v>
      </c>
      <c r="E55" s="42" t="str">
        <f t="shared" si="1"/>
        <v>Объем муниципальной услуги, работы</v>
      </c>
      <c r="F55" s="42" t="str">
        <f t="shared" si="1"/>
        <v>Затраты на содержание имущества</v>
      </c>
      <c r="G55" s="42" t="str">
        <f t="shared" si="1"/>
        <v>Доходы от оказания услуг, выполнения работ</v>
      </c>
      <c r="H55" s="42" t="str">
        <f t="shared" si="1"/>
        <v>Сумма финансового обеспечения выполнения муниципального задания</v>
      </c>
    </row>
    <row r="56" spans="1:8" ht="12.75">
      <c r="A56" s="6"/>
      <c r="B56" s="32" t="s">
        <v>243</v>
      </c>
      <c r="C56" s="32" t="s">
        <v>243</v>
      </c>
      <c r="D56" s="32" t="s">
        <v>243</v>
      </c>
      <c r="E56" s="32" t="s">
        <v>244</v>
      </c>
      <c r="F56" s="32" t="s">
        <v>245</v>
      </c>
      <c r="G56" s="32" t="s">
        <v>245</v>
      </c>
      <c r="H56" s="32" t="s">
        <v>245</v>
      </c>
    </row>
    <row r="57" spans="1:8" ht="12.75">
      <c r="A57" s="69">
        <v>1</v>
      </c>
      <c r="B57" s="69">
        <v>2</v>
      </c>
      <c r="C57" s="69">
        <v>3</v>
      </c>
      <c r="D57" s="69">
        <v>4</v>
      </c>
      <c r="E57" s="69">
        <v>5</v>
      </c>
      <c r="F57" s="69">
        <v>6</v>
      </c>
      <c r="G57" s="69">
        <v>7</v>
      </c>
      <c r="H57" s="69">
        <v>8</v>
      </c>
    </row>
    <row r="58" spans="1:8" ht="12.75">
      <c r="A58" s="32" t="s">
        <v>247</v>
      </c>
      <c r="B58" s="6"/>
      <c r="C58" s="6"/>
      <c r="D58" s="6"/>
      <c r="E58" s="6"/>
      <c r="F58" s="6"/>
      <c r="G58" s="6"/>
      <c r="H58" s="6"/>
    </row>
    <row r="59" spans="1:8" ht="39.75" customHeight="1">
      <c r="A59" s="15" t="str">
        <f>A38</f>
        <v>Реализация общеобразовательной программы дошкольного образования в группах общеразвивающей направленности</v>
      </c>
      <c r="B59" s="27">
        <f>кальк!D146/Утверждаю!E59</f>
        <v>336.9926470579746</v>
      </c>
      <c r="C59" s="27">
        <f>кальк!D161/Утверждаю!E59</f>
        <v>77.56069288544633</v>
      </c>
      <c r="D59" s="27">
        <f>B59+C59</f>
        <v>414.5533399434209</v>
      </c>
      <c r="E59" s="27">
        <f>кальк!D207</f>
        <v>18499.827999999998</v>
      </c>
      <c r="F59" s="27">
        <f>кальк!D201</f>
        <v>237525.96002656003</v>
      </c>
      <c r="G59" s="27">
        <f>G38</f>
        <v>0</v>
      </c>
      <c r="H59" s="27">
        <f>D59*E59+F59-G59</f>
        <v>7906691.445805375</v>
      </c>
    </row>
    <row r="60" spans="1:8" ht="39.75" customHeight="1">
      <c r="A60" s="15" t="str">
        <f>A39</f>
        <v>Реализация общеобразовательной программы дошкольного образования в компенсирующих группах</v>
      </c>
      <c r="B60" s="27">
        <f>кальк!E146/Утверждаю!E60</f>
        <v>439.87087711375625</v>
      </c>
      <c r="C60" s="27">
        <f>кальк!E161/Утверждаю!E60</f>
        <v>101.2386777780427</v>
      </c>
      <c r="D60" s="27">
        <f>B60+C60</f>
        <v>541.109554891799</v>
      </c>
      <c r="E60" s="27">
        <f>кальк!E207</f>
        <v>14900.009999999998</v>
      </c>
      <c r="F60" s="27">
        <f>кальк!E201</f>
        <v>249709.31058334728</v>
      </c>
      <c r="G60" s="27">
        <f>G39</f>
        <v>0</v>
      </c>
      <c r="H60" s="27">
        <f>D60*E60+F60-G60</f>
        <v>8312247.089566701</v>
      </c>
    </row>
    <row r="61" spans="1:8" ht="51" customHeight="1">
      <c r="A61" s="15" t="str">
        <f>A40</f>
        <v>Присмотр и уход за детьми, осваивающими образовательные программы в образовательных организациях в группах полного дня</v>
      </c>
      <c r="B61" s="27">
        <f>кальк!F146/E61</f>
        <v>186.72520220573455</v>
      </c>
      <c r="C61" s="27">
        <f>кальк!F161/E61</f>
        <v>25.213575616549807</v>
      </c>
      <c r="D61" s="27">
        <f>B61+C61</f>
        <v>211.93877782228435</v>
      </c>
      <c r="E61" s="27">
        <f>кальк!F207</f>
        <v>33399.837999999996</v>
      </c>
      <c r="F61" s="27">
        <f>кальк!F201</f>
        <v>139405.69321322948</v>
      </c>
      <c r="G61" s="27">
        <f>G40</f>
        <v>1913686.296</v>
      </c>
      <c r="H61" s="27">
        <f>D61*E61+F61-G61</f>
        <v>5304440.242395518</v>
      </c>
    </row>
    <row r="62" spans="1:8" ht="51" customHeight="1">
      <c r="A62" s="15" t="str">
        <f>A41</f>
        <v>Присмотр и уход за детьми, осваивающими образовательные программы в образовательных организациях в группах кратковременного пребывания</v>
      </c>
      <c r="B62" s="27">
        <f>кальк!G146/E62</f>
        <v>399.6582273926956</v>
      </c>
      <c r="C62" s="27">
        <f>кальк!G161/E62</f>
        <v>91.98351745821337</v>
      </c>
      <c r="D62" s="27">
        <f>B62+C62</f>
        <v>491.641744850909</v>
      </c>
      <c r="E62" s="27">
        <f>кальк!G207</f>
        <v>800</v>
      </c>
      <c r="F62" s="27">
        <f>кальк!G201</f>
        <v>12181.526415241908</v>
      </c>
      <c r="G62" s="27">
        <f>G41</f>
        <v>36000</v>
      </c>
      <c r="H62" s="27">
        <f>D62*E62+F62-G62</f>
        <v>369494.9222959691</v>
      </c>
    </row>
    <row r="63" spans="1:10" ht="12.75">
      <c r="A63" s="70" t="s">
        <v>246</v>
      </c>
      <c r="B63" s="71"/>
      <c r="C63" s="71"/>
      <c r="D63" s="71"/>
      <c r="E63" s="71"/>
      <c r="F63" s="71"/>
      <c r="G63" s="71"/>
      <c r="H63" s="27">
        <f>H59+H60+H61+H62</f>
        <v>21892873.700063564</v>
      </c>
      <c r="J63" s="43">
        <f>H63+G59+G60</f>
        <v>21892873.700063564</v>
      </c>
    </row>
  </sheetData>
  <sheetProtection/>
  <mergeCells count="9">
    <mergeCell ref="A8:H8"/>
    <mergeCell ref="A51:H51"/>
    <mergeCell ref="A52:H52"/>
    <mergeCell ref="A50:H50"/>
    <mergeCell ref="A29:H29"/>
    <mergeCell ref="A30:H30"/>
    <mergeCell ref="A31:H31"/>
    <mergeCell ref="A9:H9"/>
    <mergeCell ref="A10:H10"/>
  </mergeCells>
  <printOptions/>
  <pageMargins left="0.43" right="0.28" top="0.48" bottom="1" header="0.5" footer="0.5"/>
  <pageSetup horizontalDpi="600" verticalDpi="600" orientation="landscape" paperSize="9" scale="90" r:id="rId1"/>
  <rowBreaks count="2" manualBreakCount="2">
    <brk id="21" max="7" man="1"/>
    <brk id="42" max="7" man="1"/>
  </rowBreaks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10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9.140625" style="21" customWidth="1"/>
    <col min="2" max="2" width="35.421875" style="0" customWidth="1"/>
    <col min="3" max="3" width="23.7109375" style="0" customWidth="1"/>
    <col min="4" max="4" width="22.7109375" style="0" customWidth="1"/>
    <col min="5" max="5" width="17.421875" style="0" customWidth="1"/>
    <col min="6" max="6" width="19.00390625" style="0" customWidth="1"/>
    <col min="7" max="7" width="14.28125" style="0" customWidth="1"/>
  </cols>
  <sheetData>
    <row r="2" spans="1:7" ht="12.75">
      <c r="A2" s="239" t="s">
        <v>88</v>
      </c>
      <c r="B2" s="239"/>
      <c r="C2" s="239"/>
      <c r="D2" s="239"/>
      <c r="E2" s="239"/>
      <c r="F2" s="239"/>
      <c r="G2" s="239"/>
    </row>
    <row r="5" spans="1:7" ht="12.75">
      <c r="A5" s="226" t="s">
        <v>198</v>
      </c>
      <c r="B5" s="227" t="s">
        <v>199</v>
      </c>
      <c r="C5" s="230" t="s">
        <v>200</v>
      </c>
      <c r="D5" s="231"/>
      <c r="E5" s="231"/>
      <c r="F5" s="232"/>
      <c r="G5" s="227" t="s">
        <v>201</v>
      </c>
    </row>
    <row r="6" spans="1:7" ht="80.25" customHeight="1">
      <c r="A6" s="226"/>
      <c r="B6" s="227"/>
      <c r="C6" s="42" t="str">
        <f>'По кодам'!C5</f>
        <v>Реализация общеобразовательной программы дошкольного образования в группах общеразвивающей направленности</v>
      </c>
      <c r="D6" s="42" t="str">
        <f>'По кодам'!D5</f>
        <v>Реализация общеобразовательной программы дошкольного образования в компенсирующих группах</v>
      </c>
      <c r="E6" s="42" t="str">
        <f>'По кодам'!E5</f>
        <v>Присмотр и уход за детьми, осваивающими образовательные программы в образовательных организациях в группах полного дня</v>
      </c>
      <c r="F6" s="42" t="str">
        <f>'По кодам'!F5</f>
        <v>Присмотр и уход за детьми, осваивающими образовательные программы в образовательных организациях в группах кратковременного пребывания</v>
      </c>
      <c r="G6" s="227"/>
    </row>
    <row r="7" spans="1:7" ht="39.75" customHeight="1">
      <c r="A7" s="41"/>
      <c r="B7" s="42" t="s">
        <v>222</v>
      </c>
      <c r="C7" s="48">
        <f>'По кодам'!C6</f>
        <v>4328699.368465354</v>
      </c>
      <c r="D7" s="48">
        <f>'По кодам'!D6</f>
        <v>4550730.096622646</v>
      </c>
      <c r="E7" s="48">
        <f>'По кодам'!E6</f>
        <v>2540544.772896</v>
      </c>
      <c r="F7" s="48">
        <f>'По кодам'!F6</f>
        <v>221997.48480000003</v>
      </c>
      <c r="G7" s="48">
        <f>SUM(C7:D7)+E7+F7</f>
        <v>11641971.722783998</v>
      </c>
    </row>
    <row r="8" spans="1:7" ht="12.75">
      <c r="A8" s="226">
        <v>223</v>
      </c>
      <c r="B8" s="6" t="s">
        <v>206</v>
      </c>
      <c r="C8" s="27">
        <f>G8/G7*C7</f>
        <v>188884.56823988538</v>
      </c>
      <c r="D8" s="27">
        <f>G8/G7*D7</f>
        <v>198572.9699176498</v>
      </c>
      <c r="E8" s="27">
        <f>G8/G7*E7</f>
        <v>110857.710752199</v>
      </c>
      <c r="F8" s="27">
        <f>G8/G7*F7</f>
        <v>9686.951090265844</v>
      </c>
      <c r="G8" s="27">
        <f>'Расч.коммун.услуг'!E12*0.5</f>
        <v>508002.19999999995</v>
      </c>
    </row>
    <row r="9" spans="1:7" ht="12.75">
      <c r="A9" s="226"/>
      <c r="B9" s="6" t="s">
        <v>207</v>
      </c>
      <c r="C9" s="27">
        <f>G9/G7*C7</f>
        <v>9597.075281387457</v>
      </c>
      <c r="D9" s="27">
        <f>G9/G7*D7</f>
        <v>10089.33529566104</v>
      </c>
      <c r="E9" s="27">
        <f>G9/G7*E7</f>
        <v>5632.592463879595</v>
      </c>
      <c r="F9" s="27">
        <f>G9/G7*F7</f>
        <v>492.18631107190976</v>
      </c>
      <c r="G9" s="27">
        <f>'Расч.коммун.услуг'!H39*0.1</f>
        <v>25811.189351999998</v>
      </c>
    </row>
    <row r="10" spans="1:7" s="1" customFormat="1" ht="12.75">
      <c r="A10" s="226"/>
      <c r="B10" s="8" t="s">
        <v>201</v>
      </c>
      <c r="C10" s="44">
        <f>SUM(C8:C9)</f>
        <v>198481.64352127284</v>
      </c>
      <c r="D10" s="44">
        <f>SUM(D8:D9)</f>
        <v>208662.30521331084</v>
      </c>
      <c r="E10" s="44">
        <f>SUM(E8:E9)</f>
        <v>116490.3032160786</v>
      </c>
      <c r="F10" s="44">
        <f>SUM(F8:F9)</f>
        <v>10179.137401337754</v>
      </c>
      <c r="G10" s="44">
        <f>SUM(C10:F10)</f>
        <v>533813.3893520001</v>
      </c>
    </row>
  </sheetData>
  <sheetProtection/>
  <mergeCells count="6">
    <mergeCell ref="A8:A10"/>
    <mergeCell ref="A2:G2"/>
    <mergeCell ref="A5:A6"/>
    <mergeCell ref="B5:B6"/>
    <mergeCell ref="G5:G6"/>
    <mergeCell ref="C5:F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60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9.140625" style="21" customWidth="1"/>
    <col min="2" max="2" width="32.28125" style="40" customWidth="1"/>
    <col min="3" max="3" width="22.8515625" style="0" customWidth="1"/>
    <col min="4" max="4" width="22.7109375" style="0" customWidth="1"/>
    <col min="5" max="5" width="20.00390625" style="0" customWidth="1"/>
    <col min="6" max="6" width="19.8515625" style="0" customWidth="1"/>
    <col min="7" max="7" width="10.57421875" style="0" bestFit="1" customWidth="1"/>
  </cols>
  <sheetData>
    <row r="2" spans="1:7" ht="12.75">
      <c r="A2" s="239" t="s">
        <v>215</v>
      </c>
      <c r="B2" s="239"/>
      <c r="C2" s="239"/>
      <c r="D2" s="239"/>
      <c r="E2" s="239"/>
      <c r="F2" s="239"/>
      <c r="G2" s="239"/>
    </row>
    <row r="5" spans="1:9" ht="12.75">
      <c r="A5" s="226" t="s">
        <v>198</v>
      </c>
      <c r="B5" s="227" t="s">
        <v>199</v>
      </c>
      <c r="C5" s="230" t="s">
        <v>200</v>
      </c>
      <c r="D5" s="231"/>
      <c r="E5" s="231"/>
      <c r="F5" s="232"/>
      <c r="G5" s="227" t="s">
        <v>201</v>
      </c>
      <c r="I5" t="s">
        <v>216</v>
      </c>
    </row>
    <row r="6" spans="1:7" ht="78.75" customHeight="1">
      <c r="A6" s="226"/>
      <c r="B6" s="227"/>
      <c r="C6" s="42" t="str">
        <f>'По кодам'!C5</f>
        <v>Реализация общеобразовательной программы дошкольного образования в группах общеразвивающей направленности</v>
      </c>
      <c r="D6" s="42" t="str">
        <f>'По кодам'!D5</f>
        <v>Реализация общеобразовательной программы дошкольного образования в компенсирующих группах</v>
      </c>
      <c r="E6" s="42" t="str">
        <f>'По кодам'!E5</f>
        <v>Присмотр и уход за детьми, осваивающими образовательные программы в образовательных организациях в группах полного дня</v>
      </c>
      <c r="F6" s="42" t="str">
        <f>'По кодам'!F5</f>
        <v>Присмотр и уход за детьми, осваивающими образовательные программы в образовательных организациях в группах кратковременного пребывания</v>
      </c>
      <c r="G6" s="227"/>
    </row>
    <row r="7" spans="1:7" ht="36" customHeight="1">
      <c r="A7" s="41"/>
      <c r="B7" s="42" t="s">
        <v>217</v>
      </c>
      <c r="C7" s="48">
        <f>'По кодам'!C6</f>
        <v>4328699.368465354</v>
      </c>
      <c r="D7" s="48">
        <f>'По кодам'!D6</f>
        <v>4550730.096622646</v>
      </c>
      <c r="E7" s="48">
        <f>'По кодам'!E6</f>
        <v>2540544.772896</v>
      </c>
      <c r="F7" s="48">
        <f>'По кодам'!F6</f>
        <v>221997.48480000003</v>
      </c>
      <c r="G7" s="48">
        <f>C7+D7+E7+F7</f>
        <v>11641971.722783998</v>
      </c>
    </row>
    <row r="8" spans="1:7" ht="25.5">
      <c r="A8" s="226">
        <v>211</v>
      </c>
      <c r="B8" s="15" t="s">
        <v>47</v>
      </c>
      <c r="C8" s="27">
        <f>G8/G7*C7</f>
        <v>231127.69319139703</v>
      </c>
      <c r="D8" s="27">
        <f>G8/G7*D7</f>
        <v>242982.85929289385</v>
      </c>
      <c r="E8" s="27">
        <f>G8/G7*E7</f>
        <v>135650.50441862628</v>
      </c>
      <c r="F8" s="27">
        <f>G8/G7*F7</f>
        <v>11853.391097083047</v>
      </c>
      <c r="G8" s="48">
        <f>тарификация!AB50*1.066</f>
        <v>621614.4480000001</v>
      </c>
    </row>
    <row r="9" spans="1:7" ht="25.5">
      <c r="A9" s="226"/>
      <c r="B9" s="15" t="s">
        <v>49</v>
      </c>
      <c r="C9" s="27">
        <f>G9/G7*C7</f>
        <v>355146.1131812038</v>
      </c>
      <c r="D9" s="27">
        <f>G9/G7*D7</f>
        <v>373362.5203279561</v>
      </c>
      <c r="E9" s="27">
        <f>G9/G7*E7</f>
        <v>208437.80652217407</v>
      </c>
      <c r="F9" s="27">
        <f>G9/G7*F7</f>
        <v>18213.679711066405</v>
      </c>
      <c r="G9" s="48">
        <f>'Зар. плата'!J44*1.066</f>
        <v>955160.1197424001</v>
      </c>
    </row>
    <row r="10" spans="1:9" s="1" customFormat="1" ht="12.75">
      <c r="A10" s="226"/>
      <c r="B10" s="5" t="s">
        <v>85</v>
      </c>
      <c r="C10" s="44">
        <f>SUM(C8:C9)</f>
        <v>586273.8063726008</v>
      </c>
      <c r="D10" s="44">
        <f>SUM(D8:D9)</f>
        <v>616345.37962085</v>
      </c>
      <c r="E10" s="44">
        <f>SUM(E8:E9)</f>
        <v>344088.31094080035</v>
      </c>
      <c r="F10" s="44">
        <f>SUM(F8:F9)</f>
        <v>30067.070808149452</v>
      </c>
      <c r="G10" s="48">
        <f>C10+D10+E10+F10</f>
        <v>1576774.5677424003</v>
      </c>
      <c r="I10" s="49">
        <f>G10-'[1]ЗП'!M27-'[1]ЗП'!M41</f>
        <v>1576774.5677424003</v>
      </c>
    </row>
    <row r="11" spans="1:9" s="1" customFormat="1" ht="12.75">
      <c r="A11" s="4">
        <v>212</v>
      </c>
      <c r="B11" s="5" t="s">
        <v>218</v>
      </c>
      <c r="C11" s="44">
        <f>G11/G7*C7</f>
        <v>3569.456697437334</v>
      </c>
      <c r="D11" s="44">
        <f>G11/G7*D7</f>
        <v>3752.543810261921</v>
      </c>
      <c r="E11" s="27">
        <f>G11/G7*E7</f>
        <v>2094.9397920345828</v>
      </c>
      <c r="F11" s="27">
        <f>G11/G7*F7</f>
        <v>183.0597002661644</v>
      </c>
      <c r="G11" s="23">
        <f>'Расчет норматива на 2012г.'!C21</f>
        <v>9600</v>
      </c>
      <c r="I11" s="49" t="e">
        <f>C11+#REF!-'[1]Коммандир'!C8</f>
        <v>#REF!</v>
      </c>
    </row>
    <row r="12" spans="1:7" ht="25.5">
      <c r="A12" s="226">
        <v>213</v>
      </c>
      <c r="B12" s="15" t="s">
        <v>219</v>
      </c>
      <c r="C12" s="27">
        <f aca="true" t="shared" si="0" ref="C12:F13">C8*0.302</f>
        <v>69800.5633438019</v>
      </c>
      <c r="D12" s="27">
        <f t="shared" si="0"/>
        <v>73380.82350645393</v>
      </c>
      <c r="E12" s="27">
        <f t="shared" si="0"/>
        <v>40966.452334425136</v>
      </c>
      <c r="F12" s="27">
        <f t="shared" si="0"/>
        <v>3579.7241113190803</v>
      </c>
      <c r="G12" s="48">
        <f>C12+D12+E12+F12</f>
        <v>187727.56329600004</v>
      </c>
    </row>
    <row r="13" spans="1:7" ht="12.75">
      <c r="A13" s="226"/>
      <c r="B13" s="15" t="s">
        <v>220</v>
      </c>
      <c r="C13" s="27">
        <f t="shared" si="0"/>
        <v>107254.12618072354</v>
      </c>
      <c r="D13" s="27">
        <f t="shared" si="0"/>
        <v>112755.48113904275</v>
      </c>
      <c r="E13" s="27">
        <f t="shared" si="0"/>
        <v>62948.217569696564</v>
      </c>
      <c r="F13" s="27">
        <f t="shared" si="0"/>
        <v>5500.531272742054</v>
      </c>
      <c r="G13" s="48">
        <f>C13+D13+E13+F13</f>
        <v>288458.35616220493</v>
      </c>
    </row>
    <row r="14" spans="1:7" s="1" customFormat="1" ht="12.75">
      <c r="A14" s="226"/>
      <c r="B14" s="5" t="s">
        <v>85</v>
      </c>
      <c r="C14" s="44">
        <f>SUM(C12:C13)</f>
        <v>177054.68952452543</v>
      </c>
      <c r="D14" s="44">
        <f>SUM(D12:D13)</f>
        <v>186136.30464549668</v>
      </c>
      <c r="E14" s="44">
        <f>SUM(E12:E13)</f>
        <v>103914.66990412169</v>
      </c>
      <c r="F14" s="44">
        <f>SUM(F12:F13)</f>
        <v>9080.255384061134</v>
      </c>
      <c r="G14" s="48">
        <f>C14+D14+E14+F14</f>
        <v>476185.9194582049</v>
      </c>
    </row>
    <row r="15" spans="1:7" ht="12.75">
      <c r="A15" s="226">
        <v>221</v>
      </c>
      <c r="B15" s="15" t="s">
        <v>202</v>
      </c>
      <c r="C15" s="27">
        <f>G15/G7*C7</f>
        <v>15750.227677442235</v>
      </c>
      <c r="D15" s="27">
        <f>G15/G7*D7</f>
        <v>16558.099562780724</v>
      </c>
      <c r="E15" s="27">
        <f>G15/G7*E7</f>
        <v>9243.921832352597</v>
      </c>
      <c r="F15" s="27">
        <f>G15/G7*F7</f>
        <v>807.7509274244505</v>
      </c>
      <c r="G15" s="27">
        <f>'Расчет норматива на 2012г.'!E23</f>
        <v>42360</v>
      </c>
    </row>
    <row r="16" spans="1:7" ht="12.75">
      <c r="A16" s="226"/>
      <c r="B16" s="15" t="s">
        <v>203</v>
      </c>
      <c r="C16" s="32">
        <f>G16/G7*C7</f>
        <v>0</v>
      </c>
      <c r="D16" s="32"/>
      <c r="E16" s="27">
        <f>G16/G7*E7</f>
        <v>0</v>
      </c>
      <c r="F16" s="27">
        <f>G16/G7*F7</f>
        <v>0</v>
      </c>
      <c r="G16" s="32">
        <f>'[1]Усл.стор.орг.'!C9</f>
        <v>0</v>
      </c>
    </row>
    <row r="17" spans="1:7" ht="12.75">
      <c r="A17" s="226"/>
      <c r="B17" s="15" t="s">
        <v>204</v>
      </c>
      <c r="C17" s="32">
        <f>G17/G7*C7</f>
        <v>0</v>
      </c>
      <c r="D17" s="32"/>
      <c r="E17" s="27">
        <f>G17/G7*E7</f>
        <v>0</v>
      </c>
      <c r="F17" s="27">
        <f>G17/G7*F7</f>
        <v>0</v>
      </c>
      <c r="G17" s="32">
        <f>'[1]Усл.стор.орг.'!C8</f>
        <v>0</v>
      </c>
    </row>
    <row r="18" spans="1:7" s="1" customFormat="1" ht="12.75">
      <c r="A18" s="226"/>
      <c r="B18" s="5" t="s">
        <v>201</v>
      </c>
      <c r="C18" s="44">
        <f>SUM(C15:C17)</f>
        <v>15750.227677442235</v>
      </c>
      <c r="D18" s="44">
        <f>SUM(D15:D17)</f>
        <v>16558.099562780724</v>
      </c>
      <c r="E18" s="44">
        <f>SUM(E15:E17)</f>
        <v>9243.921832352597</v>
      </c>
      <c r="F18" s="44">
        <f>SUM(F15:F17)</f>
        <v>807.7509274244505</v>
      </c>
      <c r="G18" s="48">
        <f>C18+D18+E18+F18</f>
        <v>42360.00000000001</v>
      </c>
    </row>
    <row r="19" spans="1:7" ht="12.75">
      <c r="A19" s="4">
        <v>222</v>
      </c>
      <c r="B19" s="15" t="s">
        <v>58</v>
      </c>
      <c r="C19" s="27">
        <f>G19/G7*C7</f>
        <v>4461.820871796667</v>
      </c>
      <c r="D19" s="27">
        <f>G19/G7*D7</f>
        <v>4690.679762827401</v>
      </c>
      <c r="E19" s="27">
        <f>G19/G7*E7</f>
        <v>2618.6747400432287</v>
      </c>
      <c r="F19" s="27">
        <f>G19/G7*F7</f>
        <v>228.82462533270552</v>
      </c>
      <c r="G19" s="27">
        <f>'Расчет норматива на 2012г.'!E25</f>
        <v>12000</v>
      </c>
    </row>
    <row r="20" spans="1:7" ht="12.75">
      <c r="A20" s="226">
        <v>223</v>
      </c>
      <c r="B20" s="15" t="s">
        <v>206</v>
      </c>
      <c r="C20" s="27">
        <f>G20/G7*C7</f>
        <v>188884.56823988538</v>
      </c>
      <c r="D20" s="27">
        <f>G20/G7*D7</f>
        <v>198572.9699176498</v>
      </c>
      <c r="E20" s="27">
        <f>G20/G7*E7</f>
        <v>110857.710752199</v>
      </c>
      <c r="F20" s="27">
        <f>G20/G7*F7</f>
        <v>9686.951090265844</v>
      </c>
      <c r="G20" s="27">
        <f>'Расч.коммун.услуг'!E12*0.5</f>
        <v>508002.19999999995</v>
      </c>
    </row>
    <row r="21" spans="1:7" ht="12.75">
      <c r="A21" s="226"/>
      <c r="B21" s="15" t="s">
        <v>207</v>
      </c>
      <c r="C21" s="27">
        <f>G21/G7*C7</f>
        <v>86373.67753248711</v>
      </c>
      <c r="D21" s="27">
        <f>G21/G7*D7</f>
        <v>90804.01766094936</v>
      </c>
      <c r="E21" s="27">
        <f>G21/G7*E7</f>
        <v>50693.33217491635</v>
      </c>
      <c r="F21" s="27">
        <f>G21/G7*F7</f>
        <v>4429.676799647188</v>
      </c>
      <c r="G21" s="27">
        <f>'Расч.коммун.услуг'!H39*0.9</f>
        <v>232300.70416799997</v>
      </c>
    </row>
    <row r="22" spans="1:7" ht="12.75">
      <c r="A22" s="226"/>
      <c r="B22" s="15" t="s">
        <v>208</v>
      </c>
      <c r="C22" s="27">
        <f>G22/G7*C7</f>
        <v>84766.47607245912</v>
      </c>
      <c r="D22" s="27">
        <f>G22/G7*D7</f>
        <v>89114.37848000567</v>
      </c>
      <c r="E22" s="27">
        <f>G22/G7*E7</f>
        <v>49750.054085887845</v>
      </c>
      <c r="F22" s="27">
        <f>G22/G7*F7</f>
        <v>4347.251421647423</v>
      </c>
      <c r="G22" s="27">
        <f>'Расчет норматива на 2012г.'!E30</f>
        <v>227978.16006000002</v>
      </c>
    </row>
    <row r="23" spans="1:7" ht="12.75">
      <c r="A23" s="226"/>
      <c r="B23" s="15" t="s">
        <v>209</v>
      </c>
      <c r="C23" s="27">
        <f>G23/G7*C7</f>
        <v>0</v>
      </c>
      <c r="D23" s="27">
        <f>G23/G7*D7</f>
        <v>0</v>
      </c>
      <c r="E23" s="27">
        <f>G23/G7*E7</f>
        <v>0</v>
      </c>
      <c r="F23" s="27">
        <f>G23/G7*F7</f>
        <v>0</v>
      </c>
      <c r="G23" s="27">
        <f>'Расчет норматива на 2012г.'!E29</f>
        <v>0</v>
      </c>
    </row>
    <row r="24" spans="1:7" s="1" customFormat="1" ht="12.75">
      <c r="A24" s="226"/>
      <c r="B24" s="5" t="s">
        <v>201</v>
      </c>
      <c r="C24" s="44">
        <f>SUM(C20:C23)</f>
        <v>360024.7218448316</v>
      </c>
      <c r="D24" s="44">
        <f>SUM(D20:D23)</f>
        <v>378491.36605860485</v>
      </c>
      <c r="E24" s="44">
        <f>SUM(E20:E23)</f>
        <v>211301.0970130032</v>
      </c>
      <c r="F24" s="44">
        <f>SUM(F20:F23)</f>
        <v>18463.879311560457</v>
      </c>
      <c r="G24" s="48">
        <f>C24+D24+E24+F24</f>
        <v>968281.0642280001</v>
      </c>
    </row>
    <row r="25" spans="1:7" ht="12.75">
      <c r="A25" s="4">
        <v>224</v>
      </c>
      <c r="B25" s="15" t="s">
        <v>210</v>
      </c>
      <c r="C25" s="32"/>
      <c r="D25" s="32"/>
      <c r="E25" s="27">
        <f>G25/G7*E7</f>
        <v>0</v>
      </c>
      <c r="F25" s="27">
        <f>G25/G7*F7</f>
        <v>0</v>
      </c>
      <c r="G25" s="32"/>
    </row>
    <row r="26" spans="1:7" ht="12.75">
      <c r="A26" s="240">
        <v>225</v>
      </c>
      <c r="B26" s="15" t="str">
        <f>'Расчет норматива на 2012г.'!A32</f>
        <v>Вывоз ТБО</v>
      </c>
      <c r="C26" s="27">
        <f>G26/G7*C7</f>
        <v>25957.386558489077</v>
      </c>
      <c r="D26" s="27">
        <f>G26/G7*D7</f>
        <v>27288.811300208876</v>
      </c>
      <c r="E26" s="27">
        <f>G26/G7*E7</f>
        <v>15234.57674599149</v>
      </c>
      <c r="F26" s="27">
        <f>G26/G7*F7</f>
        <v>1331.2253953105699</v>
      </c>
      <c r="G26" s="28">
        <f>'Расчет норматива на 2012г.'!E32</f>
        <v>69812</v>
      </c>
    </row>
    <row r="27" spans="1:7" ht="12.75">
      <c r="A27" s="241"/>
      <c r="B27" s="15" t="str">
        <f>'Расчет норматива на 2012г.'!A33</f>
        <v>Дератизация, дезинсекция</v>
      </c>
      <c r="C27" s="27">
        <f>G27/G7*C7</f>
        <v>11613.747910880742</v>
      </c>
      <c r="D27" s="27">
        <f>G27/G7*D7</f>
        <v>12209.44853265949</v>
      </c>
      <c r="E27" s="27">
        <f>G27/G7*E7</f>
        <v>6816.192125437521</v>
      </c>
      <c r="F27" s="27">
        <f>G27/G7*F7</f>
        <v>595.6114310222548</v>
      </c>
      <c r="G27" s="28">
        <f>'Расчет норматива на 2012г.'!E33</f>
        <v>31235</v>
      </c>
    </row>
    <row r="28" spans="1:7" ht="12.75">
      <c r="A28" s="241"/>
      <c r="B28" s="15" t="str">
        <f>'Расчет норматива на 2012г.'!A34</f>
        <v>Обслуживание АПС</v>
      </c>
      <c r="C28" s="27">
        <f>G28/G7*C7</f>
        <v>8947.43812157625</v>
      </c>
      <c r="D28" s="27">
        <f>G28/G7*D7</f>
        <v>9406.37648438988</v>
      </c>
      <c r="E28" s="27">
        <f>G28/G7*E7</f>
        <v>5251.315745366688</v>
      </c>
      <c r="F28" s="27">
        <f>G28/G7*F7</f>
        <v>458.86964866718546</v>
      </c>
      <c r="G28" s="28">
        <f>'Расчет норматива на 2012г.'!E34</f>
        <v>24064</v>
      </c>
    </row>
    <row r="29" spans="1:7" ht="25.5">
      <c r="A29" s="241"/>
      <c r="B29" s="15" t="str">
        <f>'Расчет норматива на 2012г.'!A35</f>
        <v>Обслуживание кнопки тревожной сигнализации</v>
      </c>
      <c r="C29" s="27">
        <f>G29/G7*C7</f>
        <v>0</v>
      </c>
      <c r="D29" s="27">
        <f>G29/G7*D7</f>
        <v>0</v>
      </c>
      <c r="E29" s="27">
        <f>G29/G7*E7</f>
        <v>0</v>
      </c>
      <c r="F29" s="27">
        <f>G29/G7*F7</f>
        <v>0</v>
      </c>
      <c r="G29" s="28">
        <f>'Расчет норматива на 2012г.'!E35</f>
        <v>0</v>
      </c>
    </row>
    <row r="30" spans="1:7" ht="12.75">
      <c r="A30" s="241"/>
      <c r="B30" s="15" t="str">
        <f>'Расчет норматива на 2012г.'!A36</f>
        <v>Поверка весов</v>
      </c>
      <c r="C30" s="27">
        <f>G30/G7*C7</f>
        <v>0</v>
      </c>
      <c r="D30" s="27">
        <f>G30/G7*D7</f>
        <v>0</v>
      </c>
      <c r="E30" s="27">
        <f>G30/G7*E7</f>
        <v>0</v>
      </c>
      <c r="F30" s="27">
        <f>G30/G7*F7</f>
        <v>0</v>
      </c>
      <c r="G30" s="28">
        <f>'Расчет норматива на 2012г.'!E36</f>
        <v>0</v>
      </c>
    </row>
    <row r="31" spans="1:7" s="1" customFormat="1" ht="13.5" customHeight="1">
      <c r="A31" s="240">
        <v>226</v>
      </c>
      <c r="B31" s="50" t="str">
        <f>'Расчет норматива на 2012г.'!A38</f>
        <v>Мед. Осмотр</v>
      </c>
      <c r="C31" s="28">
        <f>'Расчет норматива на 2012г.'!E38</f>
        <v>0</v>
      </c>
      <c r="D31" s="28"/>
      <c r="E31" s="27">
        <f>G31/G7*E7</f>
        <v>0</v>
      </c>
      <c r="F31" s="27">
        <f>G31/G7*F7</f>
        <v>0</v>
      </c>
      <c r="G31" s="67">
        <f>'Расчет норматива на 2012г.'!E38</f>
        <v>0</v>
      </c>
    </row>
    <row r="32" spans="1:7" s="1" customFormat="1" ht="12.75">
      <c r="A32" s="241"/>
      <c r="B32" s="50" t="str">
        <f>'Расчет норматива на 2012г.'!A39</f>
        <v>Подписка</v>
      </c>
      <c r="C32" s="28">
        <f>'Расчет норматива на 2012г.'!E39</f>
        <v>0</v>
      </c>
      <c r="D32" s="28"/>
      <c r="E32" s="27">
        <f>G32/G7*E7</f>
        <v>0</v>
      </c>
      <c r="F32" s="27">
        <f>G32/G7*F7</f>
        <v>0</v>
      </c>
      <c r="G32" s="67">
        <f>'Расчет норматива на 2012г.'!E39</f>
        <v>0</v>
      </c>
    </row>
    <row r="33" spans="1:7" s="1" customFormat="1" ht="12.75">
      <c r="A33" s="241"/>
      <c r="B33" s="50" t="str">
        <f>'Расчет норматива на 2012г.'!A40</f>
        <v>Сан минимум</v>
      </c>
      <c r="C33" s="28">
        <f>'Расчет норматива на 2012г.'!E40</f>
        <v>0</v>
      </c>
      <c r="D33" s="28"/>
      <c r="E33" s="27">
        <f>G33/G7*E7</f>
        <v>0</v>
      </c>
      <c r="F33" s="27">
        <f>G33/G7*F7</f>
        <v>0</v>
      </c>
      <c r="G33" s="67">
        <f>'Расчет норматива на 2012г.'!E40</f>
        <v>0</v>
      </c>
    </row>
    <row r="34" spans="1:7" s="1" customFormat="1" ht="12.75">
      <c r="A34" s="241"/>
      <c r="B34" s="50" t="str">
        <f>'Расчет норматива на 2012г.'!A41</f>
        <v>Договора ГПХ</v>
      </c>
      <c r="C34" s="28">
        <f>G34/G7*C7</f>
        <v>14545.536042057134</v>
      </c>
      <c r="D34" s="28">
        <f>G34/G7*D7</f>
        <v>15291.616026817326</v>
      </c>
      <c r="E34" s="27">
        <f>G34/G7*E7</f>
        <v>8536.879652540925</v>
      </c>
      <c r="F34" s="27">
        <f>G34/G7*F7</f>
        <v>745.96827858462</v>
      </c>
      <c r="G34" s="67">
        <f>'Расчет норматива на 2012г.'!E41</f>
        <v>39120</v>
      </c>
    </row>
    <row r="35" spans="1:7" s="1" customFormat="1" ht="25.5">
      <c r="A35" s="241"/>
      <c r="B35" s="50" t="str">
        <f>'Расчет норматива на 2012г.'!A42</f>
        <v>Смывы и обследования Центра гигиены</v>
      </c>
      <c r="C35" s="28">
        <f>G35/G7*C7</f>
        <v>7815.622893763829</v>
      </c>
      <c r="D35" s="28">
        <f>G35/G7*D7</f>
        <v>8216.507384552664</v>
      </c>
      <c r="E35" s="27">
        <f>G35/G7*E7</f>
        <v>4587.045252975722</v>
      </c>
      <c r="F35" s="27">
        <f>G35/G7*F7</f>
        <v>400.82446870778915</v>
      </c>
      <c r="G35" s="67">
        <f>'Расчет норматива на 2012г.'!E42</f>
        <v>21020</v>
      </c>
    </row>
    <row r="36" spans="1:7" s="1" customFormat="1" ht="12.75">
      <c r="A36" s="241"/>
      <c r="B36" s="50" t="str">
        <f>'Расчет норматива на 2012г.'!A43</f>
        <v>ФГУП "Охрана"</v>
      </c>
      <c r="C36" s="28">
        <f>G36/G7*C7</f>
        <v>5732.696183446751</v>
      </c>
      <c r="D36" s="28">
        <f>G36/G7*D7</f>
        <v>6026.7417152727385</v>
      </c>
      <c r="E36" s="27">
        <f>G36/G7*E7</f>
        <v>3364.560595165541</v>
      </c>
      <c r="F36" s="27">
        <f>G36/G7*F7</f>
        <v>294.0015061149711</v>
      </c>
      <c r="G36" s="67">
        <f>'Расчет норматива на 2012г.'!E43</f>
        <v>15418</v>
      </c>
    </row>
    <row r="37" spans="1:7" s="1" customFormat="1" ht="12.75">
      <c r="A37" s="241"/>
      <c r="B37" s="50" t="str">
        <f>'Расчет норматива на 2012г.'!A44</f>
        <v>Утилизация</v>
      </c>
      <c r="C37" s="28">
        <f>G37/G7*C7</f>
        <v>658.1185785900084</v>
      </c>
      <c r="D37" s="28">
        <f>G37/G7*D7</f>
        <v>691.8752650170416</v>
      </c>
      <c r="E37" s="27">
        <f>G37/G7*E7</f>
        <v>386.2545241563762</v>
      </c>
      <c r="F37" s="27">
        <f>G37/G7*F7</f>
        <v>33.75163223657406</v>
      </c>
      <c r="G37" s="67">
        <f>'Расчет норматива на 2012г.'!E44</f>
        <v>1770</v>
      </c>
    </row>
    <row r="38" spans="1:7" s="1" customFormat="1" ht="25.5">
      <c r="A38" s="241"/>
      <c r="B38" s="50" t="str">
        <f>'Расчет норматива на 2012г.'!A45</f>
        <v>Найм жилья при служебных командировках</v>
      </c>
      <c r="C38" s="28">
        <f>G38/G7*C7</f>
        <v>3718.1840598305557</v>
      </c>
      <c r="D38" s="28">
        <f>G38/G7*D7</f>
        <v>3908.899802356167</v>
      </c>
      <c r="E38" s="27">
        <f>G38/G7*E7</f>
        <v>2182.2289500360234</v>
      </c>
      <c r="F38" s="27">
        <f>G38/G7*F7</f>
        <v>190.6871877772546</v>
      </c>
      <c r="G38" s="67">
        <f>'Расчет норматива на 2012г.'!E45</f>
        <v>10000</v>
      </c>
    </row>
    <row r="39" spans="1:7" s="1" customFormat="1" ht="12.75">
      <c r="A39" s="242"/>
      <c r="B39" s="5" t="s">
        <v>201</v>
      </c>
      <c r="C39" s="44">
        <f>SUM(C31:C38)</f>
        <v>32470.15775768828</v>
      </c>
      <c r="D39" s="44">
        <f>SUM(D31:D38)</f>
        <v>34135.64019401594</v>
      </c>
      <c r="E39" s="44">
        <f>SUM(E31:E38)</f>
        <v>19056.968974874588</v>
      </c>
      <c r="F39" s="44">
        <f>SUM(F31:F38)</f>
        <v>1665.233073421209</v>
      </c>
      <c r="G39" s="48">
        <f>C39+D39+E39+F39</f>
        <v>87328.00000000003</v>
      </c>
    </row>
    <row r="40" spans="1:7" ht="12.75">
      <c r="A40" s="4">
        <v>290</v>
      </c>
      <c r="B40" s="15" t="s">
        <v>211</v>
      </c>
      <c r="C40" s="27">
        <f>G40/G7*C7</f>
        <v>1859.0920299152779</v>
      </c>
      <c r="D40" s="27">
        <f>G40/G7*D7</f>
        <v>1954.4499011780836</v>
      </c>
      <c r="E40" s="27">
        <f>G40/G7*E7</f>
        <v>1091.1144750180117</v>
      </c>
      <c r="F40" s="27">
        <f>G40/G7*F7</f>
        <v>95.3435938886273</v>
      </c>
      <c r="G40" s="28">
        <f>'Расчет норматива на 2012г.'!E48+'Расчет норматива на 2012г.'!E47</f>
        <v>5000</v>
      </c>
    </row>
    <row r="41" spans="1:7" ht="12.75">
      <c r="A41" s="240">
        <v>340</v>
      </c>
      <c r="B41" s="15" t="str">
        <f>'Расчет норматива на 2012г.'!A50</f>
        <v>Медикаменты</v>
      </c>
      <c r="C41" s="27">
        <f>G41/G7*C7</f>
        <v>9667.278555559446</v>
      </c>
      <c r="D41" s="27">
        <f>G41/G7*D7</f>
        <v>10163.139486126036</v>
      </c>
      <c r="E41" s="27">
        <f>G41/G7*E7</f>
        <v>5673.795270093662</v>
      </c>
      <c r="F41" s="27">
        <f>G41/G7*F7</f>
        <v>495.786688220862</v>
      </c>
      <c r="G41" s="28">
        <f>'Расчет норматива на 2012г.'!E50</f>
        <v>26000</v>
      </c>
    </row>
    <row r="42" spans="1:7" ht="12.75">
      <c r="A42" s="241"/>
      <c r="B42" s="15" t="str">
        <f>'Расчет норматива на 2012г.'!A51</f>
        <v>Мягкий инвентарь</v>
      </c>
      <c r="C42" s="27">
        <f>G42/G7*C7</f>
        <v>0</v>
      </c>
      <c r="D42" s="27">
        <f>G42/G7*D7</f>
        <v>0</v>
      </c>
      <c r="E42" s="27">
        <f>G42/G7*E7</f>
        <v>0</v>
      </c>
      <c r="F42" s="27">
        <f>G42/G7*F7</f>
        <v>0</v>
      </c>
      <c r="G42" s="28">
        <f>'Расчет норматива на 2012г.'!E51</f>
        <v>0</v>
      </c>
    </row>
    <row r="43" spans="1:7" ht="12.75">
      <c r="A43" s="241"/>
      <c r="B43" s="15" t="str">
        <f>'Расчет норматива на 2012г.'!A52</f>
        <v>Посуда</v>
      </c>
      <c r="C43" s="27">
        <f>G43/G7*C7</f>
        <v>0</v>
      </c>
      <c r="D43" s="27">
        <f>G43/G7*D7</f>
        <v>0</v>
      </c>
      <c r="E43" s="27">
        <f>G43/G7*E7</f>
        <v>0</v>
      </c>
      <c r="F43" s="27">
        <f>G43/G7*F7</f>
        <v>0</v>
      </c>
      <c r="G43" s="28">
        <f>'Расчет норматива на 2012г.'!E52</f>
        <v>0</v>
      </c>
    </row>
    <row r="44" spans="1:7" ht="12.75">
      <c r="A44" s="241"/>
      <c r="B44" s="15" t="str">
        <f>'Расчет норматива на 2012г.'!A53</f>
        <v>Канцтовары</v>
      </c>
      <c r="C44" s="27">
        <f>G44/G7*C7</f>
        <v>2974.3613386614534</v>
      </c>
      <c r="D44" s="27">
        <f>G44/G7*D7</f>
        <v>3126.9243968948163</v>
      </c>
      <c r="E44" s="27">
        <f>G44/G7*E7</f>
        <v>1745.6740485813173</v>
      </c>
      <c r="F44" s="27">
        <f>G44/G7*F7</f>
        <v>152.5402158624148</v>
      </c>
      <c r="G44" s="28">
        <f>'Расчет норматива на 2012г.'!E53</f>
        <v>7999.5</v>
      </c>
    </row>
    <row r="45" spans="1:7" ht="12.75">
      <c r="A45" s="241"/>
      <c r="B45" s="15" t="str">
        <f>'Расчет норматива на 2012г.'!A54</f>
        <v>Продукты питания</v>
      </c>
      <c r="C45" s="27">
        <f>G45/G7*C7</f>
        <v>0</v>
      </c>
      <c r="D45" s="27">
        <f>G45/G7*D7</f>
        <v>0</v>
      </c>
      <c r="E45" s="27">
        <f>G45/G7*E7</f>
        <v>0</v>
      </c>
      <c r="F45" s="27">
        <f>G45/G7*F7</f>
        <v>0</v>
      </c>
      <c r="G45" s="28">
        <f>'Расчет норматива на 2012г.'!E54</f>
        <v>0</v>
      </c>
    </row>
    <row r="46" spans="1:7" ht="12.75">
      <c r="A46" s="241"/>
      <c r="B46" s="15" t="str">
        <f>'Расчет норматива на 2012г.'!A55</f>
        <v>Моющее</v>
      </c>
      <c r="C46" s="27">
        <f>G46/G7*C7</f>
        <v>11898.18899145778</v>
      </c>
      <c r="D46" s="27">
        <f>G46/G7*D7</f>
        <v>12508.479367539736</v>
      </c>
      <c r="E46" s="27">
        <f>G46/G7*E7</f>
        <v>6983.132640115276</v>
      </c>
      <c r="F46" s="27">
        <f>G46/G7*F7</f>
        <v>610.1990008872148</v>
      </c>
      <c r="G46" s="28">
        <f>'Расчет норматива на 2012г.'!E55</f>
        <v>32000</v>
      </c>
    </row>
    <row r="47" spans="1:7" ht="25.5">
      <c r="A47" s="241"/>
      <c r="B47" s="15" t="str">
        <f>'Расчет норматива на 2012г.'!A56</f>
        <v>Прочие хоз. Товары (тряпки,  метла и т.д.)</v>
      </c>
      <c r="C47" s="27">
        <f>G47/G7*C7</f>
        <v>11898.18899145778</v>
      </c>
      <c r="D47" s="27">
        <f>G47/G7*D7</f>
        <v>12508.479367539736</v>
      </c>
      <c r="E47" s="27">
        <f>G47/G7*E7</f>
        <v>6983.132640115276</v>
      </c>
      <c r="F47" s="27">
        <f>G47/G7*F7</f>
        <v>610.1990008872148</v>
      </c>
      <c r="G47" s="28">
        <f>'Расчет норматива на 2012г.'!E56</f>
        <v>32000</v>
      </c>
    </row>
    <row r="48" spans="1:7" ht="12.75">
      <c r="A48" s="241"/>
      <c r="B48" s="15" t="str">
        <f>'Расчет норматива на 2012г.'!A57</f>
        <v>Прочие материалы</v>
      </c>
      <c r="C48" s="27">
        <f>G48/G7*C7</f>
        <v>2974.547247864445</v>
      </c>
      <c r="D48" s="27">
        <f>G48/G7*D7</f>
        <v>3127.119841884934</v>
      </c>
      <c r="E48" s="27">
        <f>G48/G7*E7</f>
        <v>1745.783160028819</v>
      </c>
      <c r="F48" s="27">
        <f>G48/G7*F7</f>
        <v>152.5497502218037</v>
      </c>
      <c r="G48" s="28">
        <f>'Расчет норматива на 2012г.'!E57</f>
        <v>8000</v>
      </c>
    </row>
    <row r="49" spans="1:7" ht="12.75" customHeight="1">
      <c r="A49" s="241"/>
      <c r="B49" s="15"/>
      <c r="C49" s="27"/>
      <c r="D49" s="27"/>
      <c r="E49" s="27"/>
      <c r="F49" s="27"/>
      <c r="G49" s="28"/>
    </row>
    <row r="50" spans="1:7" s="1" customFormat="1" ht="12.75">
      <c r="A50" s="242"/>
      <c r="B50" s="5" t="s">
        <v>201</v>
      </c>
      <c r="C50" s="44">
        <f>SUM(C41:C49)</f>
        <v>39412.5651250009</v>
      </c>
      <c r="D50" s="44">
        <f>SUM(D41:D49)</f>
        <v>41434.142459985254</v>
      </c>
      <c r="E50" s="44">
        <f>SUM(E41:E49)</f>
        <v>23131.51775893435</v>
      </c>
      <c r="F50" s="44">
        <f>SUM(F41:F49)</f>
        <v>2021.27465607951</v>
      </c>
      <c r="G50" s="48">
        <f>C50+D50+E50+F50</f>
        <v>105999.50000000001</v>
      </c>
    </row>
    <row r="52" spans="1:7" s="1" customFormat="1" ht="12.75">
      <c r="A52" s="4"/>
      <c r="B52" s="5" t="s">
        <v>221</v>
      </c>
      <c r="C52" s="44">
        <f>C10+C11+C14+C18+C19+C24+C25+C28+C39+C40+C50+C26+C27+C29+C30</f>
        <v>1267395.1104921848</v>
      </c>
      <c r="D52" s="44">
        <f>D10+D11+D14+D18+D19+D24+D25+D28+D39+D40+D50+D26+D27+D29+D30</f>
        <v>1332403.242333259</v>
      </c>
      <c r="E52" s="44">
        <f>E10+E11+E14+E18+E19+E24+E25+E28+E39+E40+E50+E26+E27+E29+E30</f>
        <v>743843.3000479784</v>
      </c>
      <c r="F52" s="44">
        <f>F10+F11+F14+F18+F19+F24+F25+F28+F39+F40+F50+F26+F27+F29+F30</f>
        <v>64998.39855518372</v>
      </c>
      <c r="G52" s="48">
        <f>C52+D52+E52+F52</f>
        <v>3408640.051428606</v>
      </c>
    </row>
    <row r="56" spans="3:6" ht="12.75">
      <c r="C56" s="38">
        <f>C10+C11+C14+C18+C19+C24+C25+C26+C27+C28+C29+C30+C39+C40+C50</f>
        <v>1267395.1104921848</v>
      </c>
      <c r="D56" s="38"/>
      <c r="E56" s="38"/>
      <c r="F56" s="38"/>
    </row>
    <row r="58" spans="3:6" ht="12.75">
      <c r="C58" s="38">
        <f>C52-'Расчет норматива на 2012г.'!E59</f>
        <v>1267395.1104921848</v>
      </c>
      <c r="D58" s="38"/>
      <c r="E58" s="38"/>
      <c r="F58" s="38"/>
    </row>
    <row r="60" spans="3:6" ht="12.75">
      <c r="C60" s="43">
        <f>C52-кальк!D22</f>
        <v>0</v>
      </c>
      <c r="D60" s="43"/>
      <c r="E60" s="43"/>
      <c r="F60" s="43"/>
    </row>
  </sheetData>
  <sheetProtection/>
  <mergeCells count="12">
    <mergeCell ref="A2:G2"/>
    <mergeCell ref="A5:A6"/>
    <mergeCell ref="B5:B6"/>
    <mergeCell ref="G5:G6"/>
    <mergeCell ref="C5:F5"/>
    <mergeCell ref="A31:A39"/>
    <mergeCell ref="A26:A30"/>
    <mergeCell ref="A41:A50"/>
    <mergeCell ref="A8:A10"/>
    <mergeCell ref="A12:A14"/>
    <mergeCell ref="A15:A18"/>
    <mergeCell ref="A20:A2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6"/>
  <sheetViews>
    <sheetView view="pageBreakPreview" zoomScale="60" zoomScalePageLayoutView="0" workbookViewId="0" topLeftCell="B1">
      <selection activeCell="C3" sqref="C3"/>
    </sheetView>
  </sheetViews>
  <sheetFormatPr defaultColWidth="9.140625" defaultRowHeight="12.75"/>
  <cols>
    <col min="1" max="1" width="9.140625" style="1" customWidth="1"/>
    <col min="2" max="2" width="39.8515625" style="40" customWidth="1"/>
    <col min="3" max="3" width="21.421875" style="0" customWidth="1"/>
    <col min="4" max="4" width="20.28125" style="0" customWidth="1"/>
    <col min="5" max="5" width="22.28125" style="0" customWidth="1"/>
    <col min="6" max="6" width="22.7109375" style="0" customWidth="1"/>
    <col min="7" max="7" width="10.57421875" style="0" customWidth="1"/>
    <col min="8" max="8" width="11.57421875" style="0" customWidth="1"/>
  </cols>
  <sheetData>
    <row r="1" spans="2:8" ht="12.75">
      <c r="B1" s="239" t="s">
        <v>197</v>
      </c>
      <c r="C1" s="239"/>
      <c r="D1" s="239"/>
      <c r="E1" s="239"/>
      <c r="F1" s="239"/>
      <c r="G1" s="239"/>
      <c r="H1" s="21"/>
    </row>
    <row r="4" spans="1:8" ht="12.75">
      <c r="A4" s="226" t="s">
        <v>198</v>
      </c>
      <c r="B4" s="227" t="s">
        <v>199</v>
      </c>
      <c r="C4" s="230" t="s">
        <v>200</v>
      </c>
      <c r="D4" s="231"/>
      <c r="E4" s="231"/>
      <c r="F4" s="232"/>
      <c r="G4" s="227" t="s">
        <v>201</v>
      </c>
      <c r="H4" s="227" t="s">
        <v>493</v>
      </c>
    </row>
    <row r="5" spans="1:8" ht="102.75" customHeight="1">
      <c r="A5" s="226"/>
      <c r="B5" s="227"/>
      <c r="C5" s="42" t="s">
        <v>462</v>
      </c>
      <c r="D5" s="42" t="s">
        <v>487</v>
      </c>
      <c r="E5" s="42" t="s">
        <v>488</v>
      </c>
      <c r="F5" s="42" t="s">
        <v>489</v>
      </c>
      <c r="G5" s="227"/>
      <c r="H5" s="227"/>
    </row>
    <row r="6" spans="1:10" ht="12.75">
      <c r="A6" s="226">
        <v>211</v>
      </c>
      <c r="B6" s="15" t="s">
        <v>46</v>
      </c>
      <c r="C6" s="27">
        <f>тарификация!W52*1.066</f>
        <v>4328699.368465354</v>
      </c>
      <c r="D6" s="27">
        <f>тарификация!W53*1.066</f>
        <v>4550730.096622646</v>
      </c>
      <c r="E6" s="27">
        <f>'Зар. плата'!J53*1.066</f>
        <v>2540544.772896</v>
      </c>
      <c r="F6" s="27">
        <f>тарификация!AA26*12*1.066</f>
        <v>221997.48480000003</v>
      </c>
      <c r="G6" s="27">
        <f aca="true" t="shared" si="0" ref="G6:G31">SUM(C6:F6)</f>
        <v>11641971.722783998</v>
      </c>
      <c r="H6" s="27"/>
      <c r="J6" s="43">
        <f>G6-'[1]кальк'!E6</f>
        <v>10560472.842783999</v>
      </c>
    </row>
    <row r="7" spans="1:10" ht="25.5">
      <c r="A7" s="226"/>
      <c r="B7" s="15" t="s">
        <v>47</v>
      </c>
      <c r="C7" s="27">
        <f>хозяйственные!C8</f>
        <v>231127.69319139703</v>
      </c>
      <c r="D7" s="27">
        <f>хозяйственные!D8</f>
        <v>242982.85929289385</v>
      </c>
      <c r="E7" s="27">
        <f>хозяйственные!E8</f>
        <v>135650.50441862628</v>
      </c>
      <c r="F7" s="27">
        <f>хозяйственные!F8</f>
        <v>11853.391097083047</v>
      </c>
      <c r="G7" s="27">
        <f t="shared" si="0"/>
        <v>621614.4480000003</v>
      </c>
      <c r="H7" s="27"/>
      <c r="J7" s="43">
        <f>G7-'[1]кальк'!E21</f>
        <v>51623.56800000032</v>
      </c>
    </row>
    <row r="8" spans="1:10" ht="25.5">
      <c r="A8" s="226"/>
      <c r="B8" s="15" t="s">
        <v>49</v>
      </c>
      <c r="C8" s="27">
        <f>хозяйственные!C9</f>
        <v>355146.1131812038</v>
      </c>
      <c r="D8" s="27">
        <f>хозяйственные!D9</f>
        <v>373362.5203279561</v>
      </c>
      <c r="E8" s="27">
        <f>хозяйственные!E9</f>
        <v>208437.80652217407</v>
      </c>
      <c r="F8" s="27">
        <f>хозяйственные!F9</f>
        <v>18213.679711066405</v>
      </c>
      <c r="G8" s="27">
        <f t="shared" si="0"/>
        <v>955160.1197424004</v>
      </c>
      <c r="H8" s="27"/>
      <c r="J8" s="43">
        <f>G8-'[1]кальк'!E22</f>
        <v>955160.1197424004</v>
      </c>
    </row>
    <row r="9" spans="1:13" s="1" customFormat="1" ht="12.75">
      <c r="A9" s="226"/>
      <c r="B9" s="5" t="s">
        <v>201</v>
      </c>
      <c r="C9" s="44">
        <f>SUM(C6:C8)</f>
        <v>4914973.174837954</v>
      </c>
      <c r="D9" s="44">
        <f>SUM(D6:D8)</f>
        <v>5167075.476243496</v>
      </c>
      <c r="E9" s="44">
        <f>SUM(E6:E8)</f>
        <v>2884633.083836801</v>
      </c>
      <c r="F9" s="44">
        <f>SUM(F6:F8)</f>
        <v>252064.5556081495</v>
      </c>
      <c r="G9" s="27">
        <f t="shared" si="0"/>
        <v>13218746.290526401</v>
      </c>
      <c r="H9" s="27">
        <f>11658907.97+981449.18</f>
        <v>12640357.15</v>
      </c>
      <c r="I9" s="1">
        <f>G9/2</f>
        <v>6609373.145263201</v>
      </c>
      <c r="J9" s="1">
        <v>9334500</v>
      </c>
      <c r="K9" s="49">
        <f>G9-J9</f>
        <v>3884246.2905264013</v>
      </c>
      <c r="M9" s="1">
        <v>13215917</v>
      </c>
    </row>
    <row r="10" spans="1:13" s="1" customFormat="1" ht="15.75" customHeight="1">
      <c r="A10" s="4">
        <v>212</v>
      </c>
      <c r="B10" s="5" t="s">
        <v>79</v>
      </c>
      <c r="C10" s="44">
        <f>хозяйственные!C11</f>
        <v>3569.456697437334</v>
      </c>
      <c r="D10" s="44">
        <f>хозяйственные!D11</f>
        <v>3752.543810261921</v>
      </c>
      <c r="E10" s="44">
        <f>хозяйственные!E11</f>
        <v>2094.9397920345828</v>
      </c>
      <c r="F10" s="44">
        <f>хозяйственные!F11</f>
        <v>183.0597002661644</v>
      </c>
      <c r="G10" s="27">
        <f t="shared" si="0"/>
        <v>9600.000000000002</v>
      </c>
      <c r="H10" s="27">
        <f>2400</f>
        <v>2400</v>
      </c>
      <c r="M10" s="1">
        <f>M9/G9</f>
        <v>0.999785963777183</v>
      </c>
    </row>
    <row r="11" spans="1:10" ht="25.5">
      <c r="A11" s="226">
        <v>213</v>
      </c>
      <c r="B11" s="15" t="s">
        <v>50</v>
      </c>
      <c r="C11" s="27">
        <f aca="true" t="shared" si="1" ref="C11:D13">C6*0.302</f>
        <v>1307267.2092765367</v>
      </c>
      <c r="D11" s="27">
        <f t="shared" si="1"/>
        <v>1374320.489180039</v>
      </c>
      <c r="E11" s="27">
        <f aca="true" t="shared" si="2" ref="E11:F13">E6*0.302</f>
        <v>767244.521414592</v>
      </c>
      <c r="F11" s="27">
        <f t="shared" si="2"/>
        <v>67043.24040960001</v>
      </c>
      <c r="G11" s="27">
        <f t="shared" si="0"/>
        <v>3515875.4602807676</v>
      </c>
      <c r="H11" s="27"/>
      <c r="J11" s="43">
        <f>G11-'[1]кальк'!E8</f>
        <v>3189262.7985207676</v>
      </c>
    </row>
    <row r="12" spans="1:10" ht="38.25">
      <c r="A12" s="226"/>
      <c r="B12" s="15" t="s">
        <v>51</v>
      </c>
      <c r="C12" s="27">
        <f t="shared" si="1"/>
        <v>69800.5633438019</v>
      </c>
      <c r="D12" s="27">
        <f t="shared" si="1"/>
        <v>73380.82350645393</v>
      </c>
      <c r="E12" s="27">
        <f t="shared" si="2"/>
        <v>40966.452334425136</v>
      </c>
      <c r="F12" s="27">
        <f t="shared" si="2"/>
        <v>3579.7241113190803</v>
      </c>
      <c r="G12" s="27">
        <f t="shared" si="0"/>
        <v>187727.56329600004</v>
      </c>
      <c r="H12" s="27"/>
      <c r="J12" s="43">
        <f>'[1]кальк'!E25-G12</f>
        <v>-15590.317536000046</v>
      </c>
    </row>
    <row r="13" spans="1:10" ht="25.5">
      <c r="A13" s="226"/>
      <c r="B13" s="15" t="s">
        <v>53</v>
      </c>
      <c r="C13" s="27">
        <f t="shared" si="1"/>
        <v>107254.12618072354</v>
      </c>
      <c r="D13" s="27">
        <f t="shared" si="1"/>
        <v>112755.48113904275</v>
      </c>
      <c r="E13" s="27">
        <f t="shared" si="2"/>
        <v>62948.217569696564</v>
      </c>
      <c r="F13" s="27">
        <f t="shared" si="2"/>
        <v>5500.531272742054</v>
      </c>
      <c r="G13" s="27">
        <f t="shared" si="0"/>
        <v>288458.35616220493</v>
      </c>
      <c r="H13" s="27"/>
      <c r="J13" s="43">
        <f>'[1]кальк'!E26-G13</f>
        <v>-288458.35616220493</v>
      </c>
    </row>
    <row r="14" spans="1:11" s="1" customFormat="1" ht="12.75">
      <c r="A14" s="226"/>
      <c r="B14" s="5" t="s">
        <v>201</v>
      </c>
      <c r="C14" s="44">
        <f>SUM(C11:C13)</f>
        <v>1484321.8988010623</v>
      </c>
      <c r="D14" s="44">
        <f>SUM(D11:D13)</f>
        <v>1560456.7938255356</v>
      </c>
      <c r="E14" s="44">
        <f>SUM(E11:E13)</f>
        <v>871159.1913187138</v>
      </c>
      <c r="F14" s="44">
        <f>SUM(F11:F13)</f>
        <v>76123.49579366115</v>
      </c>
      <c r="G14" s="27">
        <f t="shared" si="0"/>
        <v>3992061.3797389725</v>
      </c>
      <c r="H14" s="27">
        <f>3250890.81+421508.37</f>
        <v>3672399.18</v>
      </c>
      <c r="I14" s="1">
        <f>G14/2</f>
        <v>1996030.6898694863</v>
      </c>
      <c r="J14" s="1">
        <v>2819000</v>
      </c>
      <c r="K14" s="49">
        <f>G14-J14</f>
        <v>1173061.3797389725</v>
      </c>
    </row>
    <row r="15" spans="1:11" ht="12.75">
      <c r="A15" s="226">
        <v>221</v>
      </c>
      <c r="B15" s="15" t="s">
        <v>202</v>
      </c>
      <c r="C15" s="27">
        <f>хозяйственные!C15</f>
        <v>15750.227677442235</v>
      </c>
      <c r="D15" s="27">
        <f>хозяйственные!D15</f>
        <v>16558.099562780724</v>
      </c>
      <c r="E15" s="27">
        <f>хозяйственные!E15</f>
        <v>9243.921832352597</v>
      </c>
      <c r="F15" s="27">
        <f>хозяйственные!F15</f>
        <v>807.7509274244505</v>
      </c>
      <c r="G15" s="27">
        <f t="shared" si="0"/>
        <v>42360.00000000001</v>
      </c>
      <c r="H15" s="27"/>
      <c r="K15" s="43">
        <f>K9+K14</f>
        <v>5057307.670265374</v>
      </c>
    </row>
    <row r="16" spans="1:8" ht="12.75">
      <c r="A16" s="226"/>
      <c r="B16" s="15" t="s">
        <v>203</v>
      </c>
      <c r="C16" s="27">
        <f>'[1]К хоз'!C16</f>
        <v>0</v>
      </c>
      <c r="D16" s="27"/>
      <c r="E16" s="27"/>
      <c r="F16" s="27"/>
      <c r="G16" s="27">
        <f t="shared" si="0"/>
        <v>0</v>
      </c>
      <c r="H16" s="27"/>
    </row>
    <row r="17" spans="1:8" ht="12.75">
      <c r="A17" s="226"/>
      <c r="B17" s="15" t="s">
        <v>204</v>
      </c>
      <c r="C17" s="27">
        <f>'[1]К хоз'!C17</f>
        <v>0</v>
      </c>
      <c r="D17" s="27"/>
      <c r="E17" s="27"/>
      <c r="F17" s="27"/>
      <c r="G17" s="27">
        <f t="shared" si="0"/>
        <v>0</v>
      </c>
      <c r="H17" s="27"/>
    </row>
    <row r="18" spans="1:8" s="1" customFormat="1" ht="12.75">
      <c r="A18" s="226"/>
      <c r="B18" s="5" t="s">
        <v>201</v>
      </c>
      <c r="C18" s="44">
        <f>SUM(C15:C17)</f>
        <v>15750.227677442235</v>
      </c>
      <c r="D18" s="44">
        <f>SUM(D15:D17)</f>
        <v>16558.099562780724</v>
      </c>
      <c r="E18" s="44">
        <f>SUM(E15:E17)</f>
        <v>9243.921832352597</v>
      </c>
      <c r="F18" s="44">
        <f>SUM(F15:F17)</f>
        <v>807.7509274244505</v>
      </c>
      <c r="G18" s="27">
        <f t="shared" si="0"/>
        <v>42360.00000000001</v>
      </c>
      <c r="H18" s="27">
        <v>31053.4</v>
      </c>
    </row>
    <row r="19" spans="1:8" s="1" customFormat="1" ht="12.75">
      <c r="A19" s="4">
        <v>222</v>
      </c>
      <c r="B19" s="5" t="s">
        <v>205</v>
      </c>
      <c r="C19" s="44">
        <f>хозяйственные!C19</f>
        <v>4461.820871796667</v>
      </c>
      <c r="D19" s="44">
        <f>хозяйственные!D19</f>
        <v>4690.679762827401</v>
      </c>
      <c r="E19" s="44">
        <f>хозяйственные!E19</f>
        <v>2618.6747400432287</v>
      </c>
      <c r="F19" s="44">
        <f>хозяйственные!F19</f>
        <v>228.82462533270552</v>
      </c>
      <c r="G19" s="27">
        <f t="shared" si="0"/>
        <v>12000.000000000002</v>
      </c>
      <c r="H19" s="27">
        <v>3001</v>
      </c>
    </row>
    <row r="20" spans="1:8" ht="12.75">
      <c r="A20" s="226">
        <v>223</v>
      </c>
      <c r="B20" s="15" t="s">
        <v>206</v>
      </c>
      <c r="C20" s="27">
        <f>хозяйственные!C20+имущ!C8</f>
        <v>377769.13647977076</v>
      </c>
      <c r="D20" s="27">
        <f>хозяйственные!D20+имущ!D8</f>
        <v>397145.9398352996</v>
      </c>
      <c r="E20" s="27">
        <f>хозяйственные!E20+имущ!E8</f>
        <v>221715.421504398</v>
      </c>
      <c r="F20" s="27">
        <f>хозяйственные!F20+имущ!F8</f>
        <v>19373.902180531688</v>
      </c>
      <c r="G20" s="27">
        <f t="shared" si="0"/>
        <v>1016004.4</v>
      </c>
      <c r="H20" s="27"/>
    </row>
    <row r="21" spans="1:8" ht="12.75">
      <c r="A21" s="226"/>
      <c r="B21" s="15" t="s">
        <v>207</v>
      </c>
      <c r="C21" s="27">
        <f>хозяйственные!C21+имущ!C9</f>
        <v>95970.75281387457</v>
      </c>
      <c r="D21" s="27">
        <f>хозяйственные!D21+имущ!D9</f>
        <v>100893.35295661041</v>
      </c>
      <c r="E21" s="27">
        <f>хозяйственные!E21+имущ!E9</f>
        <v>56325.92463879594</v>
      </c>
      <c r="F21" s="27">
        <f>хозяйственные!F21+имущ!F9</f>
        <v>4921.863110719098</v>
      </c>
      <c r="G21" s="27">
        <f t="shared" si="0"/>
        <v>258111.89352</v>
      </c>
      <c r="H21" s="27"/>
    </row>
    <row r="22" spans="1:8" ht="12.75">
      <c r="A22" s="226"/>
      <c r="B22" s="15" t="s">
        <v>208</v>
      </c>
      <c r="C22" s="27">
        <f>хозяйственные!C22</f>
        <v>84766.47607245912</v>
      </c>
      <c r="D22" s="27">
        <f>хозяйственные!D22</f>
        <v>89114.37848000567</v>
      </c>
      <c r="E22" s="27">
        <f>хозяйственные!E22</f>
        <v>49750.054085887845</v>
      </c>
      <c r="F22" s="27">
        <f>хозяйственные!F22</f>
        <v>4347.251421647423</v>
      </c>
      <c r="G22" s="27">
        <f t="shared" si="0"/>
        <v>227978.16006000008</v>
      </c>
      <c r="H22" s="27"/>
    </row>
    <row r="23" spans="1:8" ht="12.75">
      <c r="A23" s="226"/>
      <c r="B23" s="15" t="s">
        <v>209</v>
      </c>
      <c r="C23" s="27">
        <f>хозяйственные!C23</f>
        <v>0</v>
      </c>
      <c r="D23" s="27">
        <f>хозяйственные!D23</f>
        <v>0</v>
      </c>
      <c r="E23" s="27">
        <f>хозяйственные!E23</f>
        <v>0</v>
      </c>
      <c r="F23" s="27">
        <f>хозяйственные!F23</f>
        <v>0</v>
      </c>
      <c r="G23" s="27">
        <f t="shared" si="0"/>
        <v>0</v>
      </c>
      <c r="H23" s="27"/>
    </row>
    <row r="24" spans="1:9" s="1" customFormat="1" ht="12.75">
      <c r="A24" s="226"/>
      <c r="B24" s="5" t="s">
        <v>201</v>
      </c>
      <c r="C24" s="44">
        <f>SUM(C20:C23)</f>
        <v>558506.3653661044</v>
      </c>
      <c r="D24" s="44">
        <f>SUM(D20:D23)</f>
        <v>587153.6712719157</v>
      </c>
      <c r="E24" s="44">
        <f>SUM(E20:E23)</f>
        <v>327791.4002290818</v>
      </c>
      <c r="F24" s="44">
        <f>SUM(F20:F23)</f>
        <v>28643.016712898207</v>
      </c>
      <c r="G24" s="27">
        <f t="shared" si="0"/>
        <v>1502094.45358</v>
      </c>
      <c r="H24" s="27">
        <f>157650.26+25655.91+680352.02+72708.88+209687.11+24911.24</f>
        <v>1170965.4200000002</v>
      </c>
      <c r="I24" s="1">
        <f>G24/2</f>
        <v>751047.22679</v>
      </c>
    </row>
    <row r="25" spans="1:8" s="1" customFormat="1" ht="12.75">
      <c r="A25" s="4">
        <v>224</v>
      </c>
      <c r="B25" s="5" t="s">
        <v>210</v>
      </c>
      <c r="C25" s="8"/>
      <c r="D25" s="8"/>
      <c r="E25" s="8"/>
      <c r="F25" s="8"/>
      <c r="G25" s="27">
        <f t="shared" si="0"/>
        <v>0</v>
      </c>
      <c r="H25" s="27"/>
    </row>
    <row r="26" spans="1:8" s="1" customFormat="1" ht="12.75">
      <c r="A26" s="234">
        <v>225</v>
      </c>
      <c r="B26" s="50" t="str">
        <f>'Расчет норматива на 2012г.'!A32</f>
        <v>Вывоз ТБО</v>
      </c>
      <c r="C26" s="62">
        <f>хозяйственные!C26</f>
        <v>25957.386558489077</v>
      </c>
      <c r="D26" s="62">
        <f>хозяйственные!D26</f>
        <v>27288.811300208876</v>
      </c>
      <c r="E26" s="62">
        <f>хозяйственные!E26</f>
        <v>15234.57674599149</v>
      </c>
      <c r="F26" s="62">
        <f>хозяйственные!F26</f>
        <v>1331.2253953105699</v>
      </c>
      <c r="G26" s="27">
        <f t="shared" si="0"/>
        <v>69812.00000000001</v>
      </c>
      <c r="H26" s="27"/>
    </row>
    <row r="27" spans="1:8" s="1" customFormat="1" ht="12.75">
      <c r="A27" s="235"/>
      <c r="B27" s="50" t="str">
        <f>'Расчет норматива на 2012г.'!A33</f>
        <v>Дератизация, дезинсекция</v>
      </c>
      <c r="C27" s="62">
        <f>хозяйственные!C27</f>
        <v>11613.747910880742</v>
      </c>
      <c r="D27" s="62">
        <f>хозяйственные!D27</f>
        <v>12209.44853265949</v>
      </c>
      <c r="E27" s="62">
        <f>хозяйственные!E27</f>
        <v>6816.192125437521</v>
      </c>
      <c r="F27" s="62">
        <f>хозяйственные!F27</f>
        <v>595.6114310222548</v>
      </c>
      <c r="G27" s="27">
        <f t="shared" si="0"/>
        <v>31235.000000000007</v>
      </c>
      <c r="H27" s="27"/>
    </row>
    <row r="28" spans="1:8" ht="12.75">
      <c r="A28" s="235"/>
      <c r="B28" s="50" t="str">
        <f>'Расчет норматива на 2012г.'!A34</f>
        <v>Обслуживание АПС</v>
      </c>
      <c r="C28" s="62">
        <f>хозяйственные!C28</f>
        <v>8947.43812157625</v>
      </c>
      <c r="D28" s="62">
        <f>хозяйственные!D28</f>
        <v>9406.37648438988</v>
      </c>
      <c r="E28" s="62">
        <f>хозяйственные!E28</f>
        <v>5251.315745366688</v>
      </c>
      <c r="F28" s="62">
        <f>хозяйственные!F28</f>
        <v>458.86964866718546</v>
      </c>
      <c r="G28" s="27">
        <f t="shared" si="0"/>
        <v>24064.000000000004</v>
      </c>
      <c r="H28" s="27"/>
    </row>
    <row r="29" spans="1:8" ht="25.5" customHeight="1">
      <c r="A29" s="235"/>
      <c r="B29" s="50" t="str">
        <f>'Расчет норматива на 2012г.'!A35</f>
        <v>Обслуживание кнопки тревожной сигнализации</v>
      </c>
      <c r="C29" s="62">
        <f>хозяйственные!C29</f>
        <v>0</v>
      </c>
      <c r="D29" s="62">
        <f>хозяйственные!D29</f>
        <v>0</v>
      </c>
      <c r="E29" s="62">
        <f>хозяйственные!E29</f>
        <v>0</v>
      </c>
      <c r="F29" s="62">
        <f>хозяйственные!F29</f>
        <v>0</v>
      </c>
      <c r="G29" s="27">
        <f>SUM(C29:F29)</f>
        <v>0</v>
      </c>
      <c r="H29" s="27"/>
    </row>
    <row r="30" spans="1:8" ht="13.5" customHeight="1">
      <c r="A30" s="235"/>
      <c r="B30" s="50" t="str">
        <f>'Расчет норматива на 2012г.'!A36</f>
        <v>Поверка весов</v>
      </c>
      <c r="C30" s="66">
        <f>хозяйственные!C30</f>
        <v>0</v>
      </c>
      <c r="D30" s="66">
        <f>хозяйственные!D30</f>
        <v>0</v>
      </c>
      <c r="E30" s="66">
        <f>хозяйственные!E30</f>
        <v>0</v>
      </c>
      <c r="F30" s="66">
        <f>хозяйственные!F30</f>
        <v>0</v>
      </c>
      <c r="G30" s="27">
        <f t="shared" si="0"/>
        <v>0</v>
      </c>
      <c r="H30" s="27"/>
    </row>
    <row r="31" spans="1:8" s="1" customFormat="1" ht="12.75">
      <c r="A31" s="236"/>
      <c r="B31" s="5" t="s">
        <v>201</v>
      </c>
      <c r="C31" s="44">
        <f>SUM(C26:C30)</f>
        <v>46518.57259094607</v>
      </c>
      <c r="D31" s="44">
        <f>SUM(D26:D30)</f>
        <v>48904.63631725825</v>
      </c>
      <c r="E31" s="44">
        <f>SUM(E26:E30)</f>
        <v>27302.0846167957</v>
      </c>
      <c r="F31" s="44">
        <f>SUM(F26:F30)</f>
        <v>2385.7064750000104</v>
      </c>
      <c r="G31" s="27">
        <f t="shared" si="0"/>
        <v>125111.00000000003</v>
      </c>
      <c r="H31" s="27">
        <f>26058.48+65292+22800+60023</f>
        <v>174173.47999999998</v>
      </c>
    </row>
    <row r="32" spans="1:8" ht="12.75">
      <c r="A32" s="226">
        <v>226</v>
      </c>
      <c r="B32" s="15" t="str">
        <f>'Расчет норматива на 2012г.'!A38</f>
        <v>Мед. Осмотр</v>
      </c>
      <c r="C32" s="27">
        <f>G32/G6*C6</f>
        <v>18140.6482095073</v>
      </c>
      <c r="D32" s="27">
        <f>G32/G6*D6</f>
        <v>19071.131245715504</v>
      </c>
      <c r="E32" s="27">
        <f>G32/G6*E6</f>
        <v>10646.876824330755</v>
      </c>
      <c r="F32" s="27">
        <f>G32/G6*F6</f>
        <v>930.3437204464474</v>
      </c>
      <c r="G32" s="27">
        <f>'Расчет норматива на 2012г.'!C38</f>
        <v>48789</v>
      </c>
      <c r="H32" s="27"/>
    </row>
    <row r="33" spans="1:8" ht="12.75">
      <c r="A33" s="226"/>
      <c r="B33" s="15" t="str">
        <f>'Расчет норматива на 2012г.'!A39</f>
        <v>Подписка</v>
      </c>
      <c r="C33" s="27">
        <f>G33/G7*C7</f>
        <v>0</v>
      </c>
      <c r="D33" s="27">
        <f>G33/G7*D7</f>
        <v>0</v>
      </c>
      <c r="E33" s="27">
        <f>G33/G6*E6</f>
        <v>0</v>
      </c>
      <c r="F33" s="27">
        <f>G33/G6*F6</f>
        <v>0</v>
      </c>
      <c r="G33" s="27">
        <f>'Расчет норматива на 2012г.'!C39</f>
        <v>0</v>
      </c>
      <c r="H33" s="27"/>
    </row>
    <row r="34" spans="1:8" ht="14.25" customHeight="1">
      <c r="A34" s="226"/>
      <c r="B34" s="15" t="str">
        <f>'Расчет норматива на 2012г.'!A40</f>
        <v>Сан минимум</v>
      </c>
      <c r="C34" s="27">
        <f>G34/G7*C7</f>
        <v>0</v>
      </c>
      <c r="D34" s="27">
        <f>G34/G7*D7</f>
        <v>0</v>
      </c>
      <c r="E34" s="27">
        <f>G34/G6*E6</f>
        <v>0</v>
      </c>
      <c r="F34" s="27">
        <f>G34/G6*F6</f>
        <v>0</v>
      </c>
      <c r="G34" s="27">
        <f>'Расчет норматива на 2012г.'!C40</f>
        <v>0</v>
      </c>
      <c r="H34" s="27"/>
    </row>
    <row r="35" spans="1:8" ht="14.25" customHeight="1">
      <c r="A35" s="226"/>
      <c r="B35" s="15" t="str">
        <f>хозяйственные!B34</f>
        <v>Договора ГПХ</v>
      </c>
      <c r="C35" s="27">
        <f>хозяйственные!C34</f>
        <v>14545.536042057134</v>
      </c>
      <c r="D35" s="27">
        <f>хозяйственные!D34</f>
        <v>15291.616026817326</v>
      </c>
      <c r="E35" s="27">
        <f>хозяйственные!E34</f>
        <v>8536.879652540925</v>
      </c>
      <c r="F35" s="27">
        <f>хозяйственные!F34</f>
        <v>745.96827858462</v>
      </c>
      <c r="G35" s="27">
        <f aca="true" t="shared" si="3" ref="G35:G43">SUM(C35:F35)</f>
        <v>39120.00000000001</v>
      </c>
      <c r="H35" s="27"/>
    </row>
    <row r="36" spans="1:8" ht="14.25" customHeight="1">
      <c r="A36" s="226"/>
      <c r="B36" s="15" t="str">
        <f>хозяйственные!B35</f>
        <v>Смывы и обследования Центра гигиены</v>
      </c>
      <c r="C36" s="27">
        <f>хозяйственные!C35</f>
        <v>7815.622893763829</v>
      </c>
      <c r="D36" s="27">
        <f>хозяйственные!D35</f>
        <v>8216.507384552664</v>
      </c>
      <c r="E36" s="27">
        <f>хозяйственные!E35</f>
        <v>4587.045252975722</v>
      </c>
      <c r="F36" s="27">
        <f>хозяйственные!F35</f>
        <v>400.82446870778915</v>
      </c>
      <c r="G36" s="27">
        <f t="shared" si="3"/>
        <v>21020.000000000007</v>
      </c>
      <c r="H36" s="27"/>
    </row>
    <row r="37" spans="1:8" ht="12.75">
      <c r="A37" s="226"/>
      <c r="B37" s="15" t="str">
        <f>хозяйственные!B36</f>
        <v>ФГУП "Охрана"</v>
      </c>
      <c r="C37" s="27">
        <f>хозяйственные!C36</f>
        <v>5732.696183446751</v>
      </c>
      <c r="D37" s="27">
        <f>хозяйственные!D36</f>
        <v>6026.7417152727385</v>
      </c>
      <c r="E37" s="27">
        <f>хозяйственные!E36</f>
        <v>3364.560595165541</v>
      </c>
      <c r="F37" s="27">
        <f>хозяйственные!F36</f>
        <v>294.0015061149711</v>
      </c>
      <c r="G37" s="27">
        <f t="shared" si="3"/>
        <v>15418.000000000004</v>
      </c>
      <c r="H37" s="27"/>
    </row>
    <row r="38" spans="1:8" ht="12.75">
      <c r="A38" s="226"/>
      <c r="B38" s="15" t="str">
        <f>хозяйственные!B37</f>
        <v>Утилизация</v>
      </c>
      <c r="C38" s="27">
        <f>хозяйственные!C37</f>
        <v>658.1185785900084</v>
      </c>
      <c r="D38" s="27">
        <f>хозяйственные!D37</f>
        <v>691.8752650170416</v>
      </c>
      <c r="E38" s="27">
        <f>хозяйственные!E37</f>
        <v>386.2545241563762</v>
      </c>
      <c r="F38" s="27">
        <f>хозяйственные!F37</f>
        <v>33.75163223657406</v>
      </c>
      <c r="G38" s="27">
        <f t="shared" si="3"/>
        <v>1770.0000000000002</v>
      </c>
      <c r="H38" s="27"/>
    </row>
    <row r="39" spans="1:8" ht="12.75">
      <c r="A39" s="226"/>
      <c r="B39" s="15" t="str">
        <f>хозяйственные!B38</f>
        <v>Найм жилья при служебных командировках</v>
      </c>
      <c r="C39" s="27">
        <f>хозяйственные!C38</f>
        <v>3718.1840598305557</v>
      </c>
      <c r="D39" s="27">
        <f>хозяйственные!D38</f>
        <v>3908.899802356167</v>
      </c>
      <c r="E39" s="27">
        <f>хозяйственные!E38</f>
        <v>2182.2289500360234</v>
      </c>
      <c r="F39" s="27">
        <f>хозяйственные!F38</f>
        <v>190.6871877772546</v>
      </c>
      <c r="G39" s="27">
        <f t="shared" si="3"/>
        <v>10000</v>
      </c>
      <c r="H39" s="27"/>
    </row>
    <row r="40" spans="1:8" ht="12.75">
      <c r="A40" s="226"/>
      <c r="B40" s="15"/>
      <c r="C40" s="27"/>
      <c r="D40" s="27"/>
      <c r="E40" s="27"/>
      <c r="F40" s="27"/>
      <c r="G40" s="27">
        <f t="shared" si="3"/>
        <v>0</v>
      </c>
      <c r="H40" s="27"/>
    </row>
    <row r="41" spans="1:8" s="1" customFormat="1" ht="12.75">
      <c r="A41" s="226"/>
      <c r="B41" s="5" t="s">
        <v>201</v>
      </c>
      <c r="C41" s="44">
        <f>SUM(C32:C39)</f>
        <v>50610.80596719558</v>
      </c>
      <c r="D41" s="44">
        <f>SUM(D32:D39)</f>
        <v>53206.771439731434</v>
      </c>
      <c r="E41" s="44">
        <f>SUM(E32:E39)</f>
        <v>29703.84579920534</v>
      </c>
      <c r="F41" s="44">
        <f>SUM(F32:F39)</f>
        <v>2595.5767938676563</v>
      </c>
      <c r="G41" s="27">
        <f t="shared" si="3"/>
        <v>136117</v>
      </c>
      <c r="H41" s="27">
        <f>32252.76+33880.13+55600+21580</f>
        <v>143312.89</v>
      </c>
    </row>
    <row r="42" spans="1:8" s="1" customFormat="1" ht="12.75">
      <c r="A42" s="4">
        <v>290</v>
      </c>
      <c r="B42" s="5" t="s">
        <v>211</v>
      </c>
      <c r="C42" s="44">
        <f>хозяйственные!C40</f>
        <v>1859.0920299152779</v>
      </c>
      <c r="D42" s="44">
        <f>хозяйственные!D40</f>
        <v>1954.4499011780836</v>
      </c>
      <c r="E42" s="44">
        <f>хозяйственные!E40</f>
        <v>1091.1144750180117</v>
      </c>
      <c r="F42" s="44">
        <f>хозяйственные!F40</f>
        <v>95.3435938886273</v>
      </c>
      <c r="G42" s="27">
        <f t="shared" si="3"/>
        <v>5000</v>
      </c>
      <c r="H42" s="27">
        <f>800+6018.1</f>
        <v>6818.1</v>
      </c>
    </row>
    <row r="43" spans="1:8" ht="12.75">
      <c r="A43" s="226">
        <v>340</v>
      </c>
      <c r="B43" s="15" t="s">
        <v>212</v>
      </c>
      <c r="C43" s="27"/>
      <c r="D43" s="27"/>
      <c r="E43" s="27">
        <f>Материалы!D122+Материалы!D129</f>
        <v>2337988.6599999997</v>
      </c>
      <c r="F43" s="27">
        <f>Материалы!F129</f>
        <v>0</v>
      </c>
      <c r="G43" s="27">
        <f t="shared" si="3"/>
        <v>2337988.6599999997</v>
      </c>
      <c r="H43" s="27">
        <v>2159106.25</v>
      </c>
    </row>
    <row r="44" spans="1:8" ht="13.5" customHeight="1">
      <c r="A44" s="226"/>
      <c r="B44" s="15" t="str">
        <f>'Расчет норматива на 2012г.'!A50</f>
        <v>Медикаменты</v>
      </c>
      <c r="C44" s="27">
        <f>G44/G6*C6</f>
        <v>9667.278555559446</v>
      </c>
      <c r="D44" s="27">
        <f>G44/G6*D6</f>
        <v>10163.139486126036</v>
      </c>
      <c r="E44" s="27">
        <f>G44/G6*E6</f>
        <v>5673.795270093662</v>
      </c>
      <c r="F44" s="27">
        <f>G44/G6*F6</f>
        <v>495.786688220862</v>
      </c>
      <c r="G44" s="27">
        <f>'Расчет норматива на 2012г.'!C50</f>
        <v>26000</v>
      </c>
      <c r="H44" s="27"/>
    </row>
    <row r="45" spans="1:8" ht="13.5" customHeight="1">
      <c r="A45" s="226"/>
      <c r="B45" s="15" t="str">
        <f>'Расчет норматива на 2012г.'!A51</f>
        <v>Мягкий инвентарь</v>
      </c>
      <c r="C45" s="27"/>
      <c r="D45" s="27"/>
      <c r="E45" s="27"/>
      <c r="F45" s="27"/>
      <c r="G45" s="27">
        <f aca="true" t="shared" si="4" ref="G45:G54">SUM(C45:F45)</f>
        <v>0</v>
      </c>
      <c r="H45" s="27"/>
    </row>
    <row r="46" spans="1:8" ht="13.5" customHeight="1">
      <c r="A46" s="226"/>
      <c r="B46" s="15" t="str">
        <f>'Расчет норматива на 2012г.'!A52</f>
        <v>Посуда</v>
      </c>
      <c r="C46" s="27"/>
      <c r="D46" s="27"/>
      <c r="E46" s="27"/>
      <c r="F46" s="27"/>
      <c r="G46" s="27">
        <f t="shared" si="4"/>
        <v>0</v>
      </c>
      <c r="H46" s="27"/>
    </row>
    <row r="47" spans="1:8" ht="13.5" customHeight="1">
      <c r="A47" s="226"/>
      <c r="B47" s="15" t="str">
        <f>'Расчет норматива на 2012г.'!A53</f>
        <v>Канцтовары</v>
      </c>
      <c r="C47" s="27">
        <f>хозяйственные!C44</f>
        <v>2974.3613386614534</v>
      </c>
      <c r="D47" s="27">
        <f>хозяйственные!D44</f>
        <v>3126.9243968948163</v>
      </c>
      <c r="E47" s="27">
        <f>хозяйственные!E44</f>
        <v>1745.6740485813173</v>
      </c>
      <c r="F47" s="27">
        <f>хозяйственные!F44</f>
        <v>152.5402158624148</v>
      </c>
      <c r="G47" s="27">
        <f t="shared" si="4"/>
        <v>7999.500000000002</v>
      </c>
      <c r="H47" s="27"/>
    </row>
    <row r="48" spans="1:8" ht="12.75">
      <c r="A48" s="226"/>
      <c r="B48" s="15" t="str">
        <f>'Расчет норматива на 2012г.'!A54</f>
        <v>Продукты питания</v>
      </c>
      <c r="C48" s="27"/>
      <c r="D48" s="27"/>
      <c r="E48" s="27"/>
      <c r="F48" s="27"/>
      <c r="G48" s="27">
        <f t="shared" si="4"/>
        <v>0</v>
      </c>
      <c r="H48" s="27"/>
    </row>
    <row r="49" spans="1:8" ht="12.75">
      <c r="A49" s="226"/>
      <c r="B49" s="15" t="str">
        <f>'Расчет норматива на 2012г.'!A55</f>
        <v>Моющее</v>
      </c>
      <c r="C49" s="27">
        <f>хозяйственные!C46</f>
        <v>11898.18899145778</v>
      </c>
      <c r="D49" s="27">
        <f>хозяйственные!D46</f>
        <v>12508.479367539736</v>
      </c>
      <c r="E49" s="27">
        <f>хозяйственные!E46</f>
        <v>6983.132640115276</v>
      </c>
      <c r="F49" s="27">
        <f>хозяйственные!F46</f>
        <v>610.1990008872148</v>
      </c>
      <c r="G49" s="27">
        <f>SUM(C49:F49)</f>
        <v>32000.000000000007</v>
      </c>
      <c r="H49" s="27"/>
    </row>
    <row r="50" spans="1:8" ht="12.75">
      <c r="A50" s="226"/>
      <c r="B50" s="15" t="str">
        <f>'Расчет норматива на 2012г.'!A56</f>
        <v>Прочие хоз. Товары (тряпки,  метла и т.д.)</v>
      </c>
      <c r="C50" s="27">
        <f>хозяйственные!C47</f>
        <v>11898.18899145778</v>
      </c>
      <c r="D50" s="27">
        <f>хозяйственные!D47</f>
        <v>12508.479367539736</v>
      </c>
      <c r="E50" s="27">
        <f>хозяйственные!E47</f>
        <v>6983.132640115276</v>
      </c>
      <c r="F50" s="27">
        <f>хозяйственные!F47</f>
        <v>610.1990008872148</v>
      </c>
      <c r="G50" s="27">
        <f t="shared" si="4"/>
        <v>32000.000000000007</v>
      </c>
      <c r="H50" s="27"/>
    </row>
    <row r="51" spans="1:8" ht="12.75">
      <c r="A51" s="226"/>
      <c r="B51" s="15" t="str">
        <f>'Расчет норматива на 2012г.'!A57</f>
        <v>Прочие материалы</v>
      </c>
      <c r="C51" s="27">
        <f>хозяйственные!C48</f>
        <v>2974.547247864445</v>
      </c>
      <c r="D51" s="27">
        <f>хозяйственные!D48</f>
        <v>3127.119841884934</v>
      </c>
      <c r="E51" s="27">
        <f>хозяйственные!E48</f>
        <v>1745.783160028819</v>
      </c>
      <c r="F51" s="27">
        <f>хозяйственные!F48</f>
        <v>152.5497502218037</v>
      </c>
      <c r="G51" s="27">
        <f t="shared" si="4"/>
        <v>8000.000000000002</v>
      </c>
      <c r="H51" s="27"/>
    </row>
    <row r="52" spans="1:8" s="1" customFormat="1" ht="12.75">
      <c r="A52" s="226"/>
      <c r="B52" s="5" t="s">
        <v>201</v>
      </c>
      <c r="C52" s="44">
        <f>SUM(C43:C51)</f>
        <v>39412.5651250009</v>
      </c>
      <c r="D52" s="44">
        <f>SUM(D43:D51)</f>
        <v>41434.142459985254</v>
      </c>
      <c r="E52" s="44">
        <f>SUM(E43:E51)</f>
        <v>2361120.1777589344</v>
      </c>
      <c r="F52" s="44">
        <f>SUM(F43:F51)</f>
        <v>2021.27465607951</v>
      </c>
      <c r="G52" s="27">
        <f t="shared" si="4"/>
        <v>2443988.16</v>
      </c>
      <c r="H52" s="27">
        <f>278319+13000+227231.25+18387+250400+18008+433265.4</f>
        <v>1238610.65</v>
      </c>
    </row>
    <row r="53" spans="1:8" ht="12.75">
      <c r="A53" s="8"/>
      <c r="B53" s="15" t="s">
        <v>471</v>
      </c>
      <c r="C53" s="27">
        <f>Утверждаю!G17</f>
        <v>0</v>
      </c>
      <c r="D53" s="27">
        <f>Утверждаю!G18</f>
        <v>0</v>
      </c>
      <c r="E53" s="27">
        <f>Утверждаю!G19</f>
        <v>1913686.296</v>
      </c>
      <c r="F53" s="27">
        <f>Утверждаю!G20</f>
        <v>36000</v>
      </c>
      <c r="G53" s="27">
        <f t="shared" si="4"/>
        <v>1949686.296</v>
      </c>
      <c r="H53" s="27">
        <f>20998+102130+21300+68540+18000+119000</f>
        <v>349968</v>
      </c>
    </row>
    <row r="54" spans="1:10" s="1" customFormat="1" ht="25.5">
      <c r="A54" s="8"/>
      <c r="B54" s="5" t="s">
        <v>213</v>
      </c>
      <c r="C54" s="44">
        <f>C9+C10+C14+C18+C19+C24+C25+C31+C41+C42+C52-C53</f>
        <v>7119983.979964854</v>
      </c>
      <c r="D54" s="44">
        <f>D9+D10+D14+D18+D19+D24+D25+D31+D41+D42+D52-D53</f>
        <v>7485187.264594971</v>
      </c>
      <c r="E54" s="44">
        <f>E9+E10+E14+E18+E19+E24+E25+E31+E41+E42+E52-E53</f>
        <v>4603072.138398981</v>
      </c>
      <c r="F54" s="44">
        <f>F9+F10+F14+F18+F19+F24+F25+F31+F41+F42+F52-F53</f>
        <v>329148.60488656803</v>
      </c>
      <c r="G54" s="27">
        <f t="shared" si="4"/>
        <v>19537391.987845376</v>
      </c>
      <c r="H54" s="27">
        <f>H9+H10+H14+H18+H19+H24+H31+H41+H42+H43+H52+H53</f>
        <v>21592165.520000003</v>
      </c>
      <c r="J54" s="49">
        <f>G54-кальк!H67</f>
        <v>0</v>
      </c>
    </row>
    <row r="56" spans="7:8" ht="12.75">
      <c r="G56" s="43">
        <f>G54+G53-G43</f>
        <v>19149089.623845376</v>
      </c>
      <c r="H56" s="43">
        <f>H54-H53-H43</f>
        <v>19083091.270000003</v>
      </c>
    </row>
    <row r="57" spans="7:8" ht="12.75">
      <c r="G57" s="43">
        <f>G54-G43</f>
        <v>17199403.327845376</v>
      </c>
      <c r="H57" s="43"/>
    </row>
    <row r="58" spans="2:8" ht="12.75">
      <c r="B58" s="45" t="s">
        <v>214</v>
      </c>
      <c r="C58" s="46"/>
      <c r="D58" s="46"/>
      <c r="E58" s="46"/>
      <c r="F58" s="46"/>
      <c r="G58" s="47">
        <f>'Расчет норматива на 2012г.'!C58</f>
        <v>15522294.583579998</v>
      </c>
      <c r="H58" s="47"/>
    </row>
    <row r="59" spans="7:8" ht="12.75">
      <c r="G59" s="38">
        <f>G54-G58</f>
        <v>4015097.4042653777</v>
      </c>
      <c r="H59" s="38"/>
    </row>
    <row r="61" spans="7:8" ht="12.75">
      <c r="G61" s="43">
        <f>C54-кальк!D67</f>
        <v>0</v>
      </c>
      <c r="H61" s="43"/>
    </row>
    <row r="64" ht="12.75">
      <c r="G64">
        <v>14415962</v>
      </c>
    </row>
    <row r="65" spans="7:8" ht="12.75">
      <c r="G65" s="43">
        <f>G54-G64</f>
        <v>5121429.987845376</v>
      </c>
      <c r="H65" s="43"/>
    </row>
    <row r="71" spans="7:8" ht="12.75">
      <c r="G71" s="43">
        <f>G54+G53-G43-G9-G14</f>
        <v>1938281.9535800023</v>
      </c>
      <c r="H71" s="43"/>
    </row>
    <row r="72" ht="12.75">
      <c r="G72">
        <f>2202795-264452</f>
        <v>1938343</v>
      </c>
    </row>
    <row r="74" ht="12.75">
      <c r="G74">
        <f>26000+32000+32000+8000+8000</f>
        <v>106000</v>
      </c>
    </row>
    <row r="75" ht="12.75">
      <c r="G75">
        <f>48789+10000+39120+1770+15418+21020</f>
        <v>136117</v>
      </c>
    </row>
    <row r="76" ht="12.75">
      <c r="G76">
        <f>31235+69812+24064</f>
        <v>125111</v>
      </c>
    </row>
  </sheetData>
  <sheetProtection/>
  <mergeCells count="13">
    <mergeCell ref="A32:A41"/>
    <mergeCell ref="A43:A52"/>
    <mergeCell ref="A26:A31"/>
    <mergeCell ref="A6:A9"/>
    <mergeCell ref="A11:A14"/>
    <mergeCell ref="A15:A18"/>
    <mergeCell ref="A20:A24"/>
    <mergeCell ref="B1:G1"/>
    <mergeCell ref="A4:A5"/>
    <mergeCell ref="B4:B5"/>
    <mergeCell ref="G4:G5"/>
    <mergeCell ref="C4:F4"/>
    <mergeCell ref="H4:H5"/>
  </mergeCells>
  <printOptions/>
  <pageMargins left="0.45" right="0.21" top="1" bottom="1" header="0.5" footer="0.5"/>
  <pageSetup horizontalDpi="300" verticalDpi="300" orientation="portrait" paperSize="9" scale="67" r:id="rId1"/>
  <colBreaks count="2" manualBreakCount="2">
    <brk id="7" max="53" man="1"/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6.7109375" style="0" customWidth="1"/>
    <col min="4" max="4" width="15.28125" style="0" customWidth="1"/>
    <col min="5" max="5" width="18.8515625" style="0" customWidth="1"/>
    <col min="6" max="6" width="16.57421875" style="0" customWidth="1"/>
    <col min="7" max="7" width="14.28125" style="0" customWidth="1"/>
  </cols>
  <sheetData>
    <row r="1" spans="1:4" ht="15">
      <c r="A1" s="243" t="s">
        <v>271</v>
      </c>
      <c r="B1" s="243"/>
      <c r="C1" s="243"/>
      <c r="D1" s="243"/>
    </row>
    <row r="3" spans="1:6" ht="12.75">
      <c r="A3" s="245" t="s">
        <v>260</v>
      </c>
      <c r="B3" s="245"/>
      <c r="C3" s="245"/>
      <c r="D3" s="245"/>
      <c r="E3" s="245"/>
      <c r="F3" s="245"/>
    </row>
    <row r="4" spans="1:6" ht="12.75">
      <c r="A4" s="29"/>
      <c r="B4" s="29"/>
      <c r="C4" s="29"/>
      <c r="D4" s="29"/>
      <c r="E4" s="29"/>
      <c r="F4" s="29"/>
    </row>
    <row r="6" spans="1:7" ht="12.75" customHeight="1">
      <c r="A6" s="249"/>
      <c r="B6" s="244" t="s">
        <v>90</v>
      </c>
      <c r="C6" s="244" t="s">
        <v>323</v>
      </c>
      <c r="D6" s="248" t="s">
        <v>89</v>
      </c>
      <c r="E6" s="248"/>
      <c r="F6" s="248"/>
      <c r="G6" s="244" t="s">
        <v>165</v>
      </c>
    </row>
    <row r="7" spans="1:7" ht="26.25" customHeight="1">
      <c r="A7" s="249"/>
      <c r="B7" s="244"/>
      <c r="C7" s="244"/>
      <c r="D7" s="246" t="s">
        <v>44</v>
      </c>
      <c r="E7" s="247"/>
      <c r="F7" s="244" t="s">
        <v>93</v>
      </c>
      <c r="G7" s="244"/>
    </row>
    <row r="8" spans="1:7" ht="76.5">
      <c r="A8" s="249"/>
      <c r="B8" s="244"/>
      <c r="C8" s="244"/>
      <c r="D8" s="25" t="s">
        <v>91</v>
      </c>
      <c r="E8" s="3" t="s">
        <v>92</v>
      </c>
      <c r="F8" s="244"/>
      <c r="G8" s="244"/>
    </row>
    <row r="9" spans="1:7" ht="12.75">
      <c r="A9" s="26" t="s">
        <v>40</v>
      </c>
      <c r="B9" s="26"/>
      <c r="C9" s="27"/>
      <c r="D9" s="28"/>
      <c r="E9" s="28"/>
      <c r="F9" s="28"/>
      <c r="G9" s="13">
        <f>(D9+E9+F9)*C9</f>
        <v>0</v>
      </c>
    </row>
    <row r="10" spans="1:7" ht="12.75">
      <c r="A10" s="26" t="s">
        <v>11</v>
      </c>
      <c r="B10" s="26"/>
      <c r="C10" s="27">
        <v>33176</v>
      </c>
      <c r="D10" s="28">
        <f>'[3]Расчет норматива на 2012г.'!D60</f>
        <v>271.79702917771885</v>
      </c>
      <c r="E10" s="28">
        <f>'[3]Расчет норматива на 2012г.'!E60</f>
        <v>154.19772214854112</v>
      </c>
      <c r="F10" s="28">
        <f>'[3]Расчет норматива на 2012г.'!F60</f>
        <v>15.371066433566433</v>
      </c>
      <c r="G10" s="13">
        <f>(D10+E10+F10)*C10</f>
        <v>14642752.370000001</v>
      </c>
    </row>
    <row r="11" spans="1:7" ht="12.75">
      <c r="A11" s="26" t="s">
        <v>12</v>
      </c>
      <c r="B11" s="26">
        <v>1.052</v>
      </c>
      <c r="C11" s="27">
        <v>32225</v>
      </c>
      <c r="D11" s="28">
        <f>D10*B11</f>
        <v>285.93047469496025</v>
      </c>
      <c r="E11" s="28">
        <f>E10*B11</f>
        <v>162.21600370026528</v>
      </c>
      <c r="F11" s="28">
        <f>F10*B11</f>
        <v>16.170361888111888</v>
      </c>
      <c r="G11" s="13">
        <f>(D11+E11+F11)*C11</f>
        <v>14962610.178130548</v>
      </c>
    </row>
    <row r="12" spans="1:7" ht="12.75">
      <c r="A12" s="26" t="s">
        <v>10</v>
      </c>
      <c r="B12" s="26">
        <v>1.049</v>
      </c>
      <c r="C12" s="27">
        <v>32225</v>
      </c>
      <c r="D12" s="28">
        <f>D11*B12</f>
        <v>299.9410679550133</v>
      </c>
      <c r="E12" s="28">
        <f>E11*B12</f>
        <v>170.16458788157826</v>
      </c>
      <c r="F12" s="28">
        <f>F11*B12</f>
        <v>16.96270962062937</v>
      </c>
      <c r="G12" s="13">
        <f>(D12+E12+F12)*C12</f>
        <v>15695778.076858943</v>
      </c>
    </row>
    <row r="13" spans="1:7" s="1" customFormat="1" ht="12.75">
      <c r="A13" s="3" t="s">
        <v>37</v>
      </c>
      <c r="B13" s="3"/>
      <c r="C13" s="23"/>
      <c r="D13" s="23">
        <f>SUM(D9:D12)</f>
        <v>857.6685718276924</v>
      </c>
      <c r="E13" s="23">
        <f>SUM(E9:E12)</f>
        <v>486.57831373038465</v>
      </c>
      <c r="F13" s="23">
        <f>SUM(F9:F12)</f>
        <v>48.50413794230769</v>
      </c>
      <c r="G13" s="23">
        <f>SUM(G9:G12)</f>
        <v>45301140.624989495</v>
      </c>
    </row>
    <row r="15" spans="1:2" ht="12.75">
      <c r="A15" s="1"/>
      <c r="B15" s="1"/>
    </row>
  </sheetData>
  <sheetProtection/>
  <mergeCells count="9">
    <mergeCell ref="A1:D1"/>
    <mergeCell ref="G6:G8"/>
    <mergeCell ref="A3:F3"/>
    <mergeCell ref="D7:E7"/>
    <mergeCell ref="F7:F8"/>
    <mergeCell ref="D6:F6"/>
    <mergeCell ref="A6:A8"/>
    <mergeCell ref="B6:B8"/>
    <mergeCell ref="C6:C8"/>
  </mergeCells>
  <printOptions/>
  <pageMargins left="0" right="0" top="0.3937007874015748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PageLayoutView="0" workbookViewId="0" topLeftCell="A16">
      <selection activeCell="C48" sqref="C48"/>
    </sheetView>
  </sheetViews>
  <sheetFormatPr defaultColWidth="9.140625" defaultRowHeight="12.75"/>
  <cols>
    <col min="1" max="1" width="27.7109375" style="0" customWidth="1"/>
    <col min="2" max="2" width="7.7109375" style="0" customWidth="1"/>
    <col min="3" max="3" width="14.57421875" style="0" customWidth="1"/>
    <col min="4" max="4" width="13.57421875" style="0" customWidth="1"/>
    <col min="5" max="5" width="15.7109375" style="0" customWidth="1"/>
    <col min="6" max="6" width="16.57421875" style="0" customWidth="1"/>
    <col min="8" max="8" width="9.57421875" style="0" bestFit="1" customWidth="1"/>
  </cols>
  <sheetData>
    <row r="1" spans="1:4" ht="15">
      <c r="A1" s="243" t="s">
        <v>271</v>
      </c>
      <c r="B1" s="243"/>
      <c r="C1" s="243"/>
      <c r="D1" s="243"/>
    </row>
    <row r="3" spans="1:6" ht="12.75">
      <c r="A3" s="239" t="s">
        <v>256</v>
      </c>
      <c r="B3" s="239"/>
      <c r="C3" s="239"/>
      <c r="D3" s="239"/>
      <c r="E3" s="239"/>
      <c r="F3" s="239"/>
    </row>
    <row r="6" spans="1:6" ht="12.75">
      <c r="A6" s="244" t="s">
        <v>43</v>
      </c>
      <c r="B6" s="244"/>
      <c r="C6" s="244" t="s">
        <v>11</v>
      </c>
      <c r="D6" s="244"/>
      <c r="E6" s="244"/>
      <c r="F6" s="244"/>
    </row>
    <row r="7" spans="1:6" ht="26.25" customHeight="1">
      <c r="A7" s="244"/>
      <c r="B7" s="244"/>
      <c r="C7" s="244" t="s">
        <v>45</v>
      </c>
      <c r="D7" s="250" t="s">
        <v>44</v>
      </c>
      <c r="E7" s="247"/>
      <c r="F7" s="244" t="s">
        <v>88</v>
      </c>
    </row>
    <row r="8" spans="1:6" ht="76.5">
      <c r="A8" s="244"/>
      <c r="B8" s="244"/>
      <c r="C8" s="244"/>
      <c r="D8" s="3" t="s">
        <v>86</v>
      </c>
      <c r="E8" s="76" t="s">
        <v>87</v>
      </c>
      <c r="F8" s="244"/>
    </row>
    <row r="9" spans="1:8" s="1" customFormat="1" ht="12.75">
      <c r="A9" s="3" t="s">
        <v>77</v>
      </c>
      <c r="B9" s="3">
        <v>211</v>
      </c>
      <c r="C9" s="22">
        <f>SUM(C10:C13)</f>
        <v>8803401.2</v>
      </c>
      <c r="D9" s="22">
        <f>SUM(D10:D13)</f>
        <v>6062702.18</v>
      </c>
      <c r="E9" s="22">
        <f>SUM(E10:E13)</f>
        <v>2740699.02</v>
      </c>
      <c r="F9" s="22">
        <f>SUM(F10:F13)</f>
        <v>0</v>
      </c>
      <c r="H9" s="35"/>
    </row>
    <row r="10" spans="1:6" ht="25.5">
      <c r="A10" s="15" t="s">
        <v>46</v>
      </c>
      <c r="B10" s="15">
        <v>211</v>
      </c>
      <c r="C10" s="13">
        <v>4734572.94</v>
      </c>
      <c r="D10" s="13">
        <f>C10</f>
        <v>4734572.94</v>
      </c>
      <c r="E10" s="13"/>
      <c r="F10" s="13"/>
    </row>
    <row r="11" spans="1:9" ht="38.25">
      <c r="A11" s="15" t="s">
        <v>47</v>
      </c>
      <c r="B11" s="15">
        <v>211</v>
      </c>
      <c r="C11" s="13">
        <v>1192747.18</v>
      </c>
      <c r="D11" s="13">
        <f>C11</f>
        <v>1192747.18</v>
      </c>
      <c r="E11" s="13"/>
      <c r="F11" s="13"/>
      <c r="I11">
        <f>C9*0.302</f>
        <v>2658627.1624</v>
      </c>
    </row>
    <row r="12" spans="1:6" ht="25.5">
      <c r="A12" s="15" t="s">
        <v>48</v>
      </c>
      <c r="B12" s="15">
        <v>211</v>
      </c>
      <c r="C12" s="13">
        <v>135382.06</v>
      </c>
      <c r="D12" s="13">
        <f>C12</f>
        <v>135382.06</v>
      </c>
      <c r="E12" s="13"/>
      <c r="F12" s="13"/>
    </row>
    <row r="13" spans="1:6" ht="25.5">
      <c r="A13" s="15" t="s">
        <v>49</v>
      </c>
      <c r="B13" s="15">
        <v>211</v>
      </c>
      <c r="C13" s="13">
        <v>2740699.02</v>
      </c>
      <c r="D13" s="13"/>
      <c r="E13" s="13">
        <f>C13</f>
        <v>2740699.02</v>
      </c>
      <c r="F13" s="13"/>
    </row>
    <row r="14" spans="1:8" s="21" customFormat="1" ht="25.5">
      <c r="A14" s="3" t="s">
        <v>78</v>
      </c>
      <c r="B14" s="3">
        <v>213</v>
      </c>
      <c r="C14" s="23">
        <f>SUM(C15:C18)</f>
        <v>2658627.17</v>
      </c>
      <c r="D14" s="23">
        <f>SUM(D15:D18)</f>
        <v>1830936.06</v>
      </c>
      <c r="E14" s="23">
        <f>SUM(E15:E18)</f>
        <v>827691.11</v>
      </c>
      <c r="F14" s="23">
        <f>SUM(F15:F18)</f>
        <v>0</v>
      </c>
      <c r="H14" s="37"/>
    </row>
    <row r="15" spans="1:6" ht="25.5">
      <c r="A15" s="15" t="s">
        <v>50</v>
      </c>
      <c r="B15" s="15">
        <v>213</v>
      </c>
      <c r="C15" s="13">
        <v>1429841.03</v>
      </c>
      <c r="D15" s="13">
        <f>C15</f>
        <v>1429841.03</v>
      </c>
      <c r="E15" s="13"/>
      <c r="F15" s="13"/>
    </row>
    <row r="16" spans="1:6" ht="38.25">
      <c r="A16" s="15" t="s">
        <v>51</v>
      </c>
      <c r="B16" s="15">
        <v>213</v>
      </c>
      <c r="C16" s="13">
        <v>360209.65</v>
      </c>
      <c r="D16" s="13">
        <f>C16</f>
        <v>360209.65</v>
      </c>
      <c r="E16" s="13"/>
      <c r="F16" s="13"/>
    </row>
    <row r="17" spans="1:6" ht="38.25">
      <c r="A17" s="15" t="s">
        <v>52</v>
      </c>
      <c r="B17" s="15">
        <v>213</v>
      </c>
      <c r="C17" s="13">
        <v>40885.38</v>
      </c>
      <c r="D17" s="13">
        <f>C17</f>
        <v>40885.38</v>
      </c>
      <c r="E17" s="13"/>
      <c r="F17" s="13"/>
    </row>
    <row r="18" spans="1:6" ht="38.25">
      <c r="A18" s="15" t="s">
        <v>53</v>
      </c>
      <c r="B18" s="15">
        <v>213</v>
      </c>
      <c r="C18" s="13">
        <v>827691.11</v>
      </c>
      <c r="D18" s="13"/>
      <c r="E18" s="13">
        <f>C18</f>
        <v>827691.11</v>
      </c>
      <c r="F18" s="13"/>
    </row>
    <row r="19" spans="1:6" s="21" customFormat="1" ht="12.75">
      <c r="A19" s="3" t="s">
        <v>79</v>
      </c>
      <c r="B19" s="3">
        <v>212</v>
      </c>
      <c r="C19" s="36">
        <f>SUM(C20:C21)</f>
        <v>9600</v>
      </c>
      <c r="D19" s="23">
        <f>SUM(D20:D21)</f>
        <v>0</v>
      </c>
      <c r="E19" s="23">
        <f>SUM(E20:E21)</f>
        <v>9600</v>
      </c>
      <c r="F19" s="23">
        <f>SUM(F20:F21)</f>
        <v>0</v>
      </c>
    </row>
    <row r="20" spans="1:6" ht="25.5">
      <c r="A20" s="15" t="s">
        <v>321</v>
      </c>
      <c r="B20" s="15">
        <v>212</v>
      </c>
      <c r="C20" s="13"/>
      <c r="D20" s="13">
        <f>C20</f>
        <v>0</v>
      </c>
      <c r="E20" s="13"/>
      <c r="F20" s="13"/>
    </row>
    <row r="21" spans="1:6" ht="12.75">
      <c r="A21" s="15" t="s">
        <v>56</v>
      </c>
      <c r="B21" s="15">
        <v>212</v>
      </c>
      <c r="C21" s="13">
        <v>9600</v>
      </c>
      <c r="D21" s="13"/>
      <c r="E21" s="13">
        <f>C21</f>
        <v>9600</v>
      </c>
      <c r="F21" s="13"/>
    </row>
    <row r="22" spans="1:6" s="21" customFormat="1" ht="12.75">
      <c r="A22" s="3" t="s">
        <v>57</v>
      </c>
      <c r="B22" s="3">
        <v>221</v>
      </c>
      <c r="C22" s="36">
        <f>SUM(C23)</f>
        <v>42360</v>
      </c>
      <c r="D22" s="23">
        <f>SUM(D23)</f>
        <v>0</v>
      </c>
      <c r="E22" s="23">
        <f>SUM(E23)</f>
        <v>42360</v>
      </c>
      <c r="F22" s="23">
        <f>SUM(F23)</f>
        <v>0</v>
      </c>
    </row>
    <row r="23" spans="1:6" ht="12.75">
      <c r="A23" s="15" t="s">
        <v>57</v>
      </c>
      <c r="B23" s="15">
        <v>221</v>
      </c>
      <c r="C23" s="13">
        <v>42360</v>
      </c>
      <c r="D23" s="13"/>
      <c r="E23" s="13">
        <f>C23</f>
        <v>42360</v>
      </c>
      <c r="F23" s="13"/>
    </row>
    <row r="24" spans="1:6" s="21" customFormat="1" ht="12.75">
      <c r="A24" s="3" t="s">
        <v>58</v>
      </c>
      <c r="B24" s="3">
        <v>222</v>
      </c>
      <c r="C24" s="36">
        <f>SUM(C25)</f>
        <v>12000</v>
      </c>
      <c r="D24" s="23">
        <f>SUM(D25)</f>
        <v>0</v>
      </c>
      <c r="E24" s="23">
        <f>SUM(E25)</f>
        <v>12000</v>
      </c>
      <c r="F24" s="23">
        <f>SUM(F25)</f>
        <v>0</v>
      </c>
    </row>
    <row r="25" spans="1:6" ht="12.75">
      <c r="A25" s="15" t="s">
        <v>58</v>
      </c>
      <c r="B25" s="15">
        <v>222</v>
      </c>
      <c r="C25" s="13">
        <v>12000</v>
      </c>
      <c r="D25" s="13"/>
      <c r="E25" s="13">
        <f>C25</f>
        <v>12000</v>
      </c>
      <c r="F25" s="13"/>
    </row>
    <row r="26" spans="1:6" s="21" customFormat="1" ht="12.75">
      <c r="A26" s="3" t="s">
        <v>80</v>
      </c>
      <c r="B26" s="3">
        <v>223</v>
      </c>
      <c r="C26" s="23">
        <f>SUM(C27:C30)</f>
        <v>1286090.05358</v>
      </c>
      <c r="D26" s="23">
        <f>SUM(D27:D30)</f>
        <v>0</v>
      </c>
      <c r="E26" s="23">
        <f>SUM(E27:E30)</f>
        <v>860278.864228</v>
      </c>
      <c r="F26" s="23">
        <f>SUM(F27:F30)</f>
        <v>425811.189352</v>
      </c>
    </row>
    <row r="27" spans="1:6" ht="12.75">
      <c r="A27" s="15" t="s">
        <v>54</v>
      </c>
      <c r="B27" s="15">
        <v>223</v>
      </c>
      <c r="C27" s="80">
        <f>'Расч.коммун.услуг'!H39</f>
        <v>258111.89351999995</v>
      </c>
      <c r="D27" s="13"/>
      <c r="E27" s="13">
        <f>C27*90%</f>
        <v>232300.70416799997</v>
      </c>
      <c r="F27" s="13">
        <f>C27*10%</f>
        <v>25811.189351999998</v>
      </c>
    </row>
    <row r="28" spans="1:6" ht="12.75">
      <c r="A28" s="15" t="s">
        <v>55</v>
      </c>
      <c r="B28" s="15">
        <v>223</v>
      </c>
      <c r="C28" s="80">
        <v>800000</v>
      </c>
      <c r="D28" s="13"/>
      <c r="E28" s="13">
        <f>C28*50%</f>
        <v>400000</v>
      </c>
      <c r="F28" s="13">
        <f>C28*50%</f>
        <v>400000</v>
      </c>
    </row>
    <row r="29" spans="1:6" ht="12.75">
      <c r="A29" s="15" t="s">
        <v>59</v>
      </c>
      <c r="B29" s="15">
        <v>223</v>
      </c>
      <c r="C29" s="80">
        <f>'Расч.коммун.услуг'!D5</f>
        <v>0</v>
      </c>
      <c r="D29" s="13"/>
      <c r="E29" s="13">
        <f>C29</f>
        <v>0</v>
      </c>
      <c r="F29" s="13"/>
    </row>
    <row r="30" spans="1:6" ht="12.75">
      <c r="A30" s="15" t="s">
        <v>60</v>
      </c>
      <c r="B30" s="15">
        <v>223</v>
      </c>
      <c r="C30" s="80">
        <f>'Расч.коммун.услуг'!H51</f>
        <v>227978.16006000002</v>
      </c>
      <c r="D30" s="13"/>
      <c r="E30" s="13">
        <f>C30</f>
        <v>227978.16006000002</v>
      </c>
      <c r="F30" s="13"/>
    </row>
    <row r="31" spans="1:8" s="21" customFormat="1" ht="25.5">
      <c r="A31" s="3" t="s">
        <v>81</v>
      </c>
      <c r="B31" s="3">
        <v>225</v>
      </c>
      <c r="C31" s="36">
        <f>SUM(C32:C36)</f>
        <v>125111</v>
      </c>
      <c r="D31" s="23">
        <f>SUM(D32:D36)</f>
        <v>0</v>
      </c>
      <c r="E31" s="23">
        <f>SUM(E32:E36)</f>
        <v>125111</v>
      </c>
      <c r="F31" s="23">
        <f>SUM(F32:F36)</f>
        <v>0</v>
      </c>
      <c r="H31" s="37"/>
    </row>
    <row r="32" spans="1:6" ht="12.75">
      <c r="A32" s="15" t="s">
        <v>61</v>
      </c>
      <c r="B32" s="15">
        <v>225</v>
      </c>
      <c r="C32" s="13">
        <v>69812</v>
      </c>
      <c r="D32" s="13"/>
      <c r="E32" s="13">
        <f>C32</f>
        <v>69812</v>
      </c>
      <c r="F32" s="13"/>
    </row>
    <row r="33" spans="1:6" ht="12.75">
      <c r="A33" s="15" t="s">
        <v>62</v>
      </c>
      <c r="B33" s="15">
        <v>225</v>
      </c>
      <c r="C33" s="13">
        <v>31235</v>
      </c>
      <c r="D33" s="13"/>
      <c r="E33" s="13">
        <f>C33</f>
        <v>31235</v>
      </c>
      <c r="F33" s="13"/>
    </row>
    <row r="34" spans="1:6" ht="12.75">
      <c r="A34" s="15" t="s">
        <v>63</v>
      </c>
      <c r="B34" s="15">
        <v>225</v>
      </c>
      <c r="C34" s="13">
        <v>24064</v>
      </c>
      <c r="D34" s="13"/>
      <c r="E34" s="13">
        <f>C34</f>
        <v>24064</v>
      </c>
      <c r="F34" s="13"/>
    </row>
    <row r="35" spans="1:6" ht="25.5">
      <c r="A35" s="15" t="s">
        <v>64</v>
      </c>
      <c r="B35" s="15">
        <v>225</v>
      </c>
      <c r="C35" s="13"/>
      <c r="D35" s="13"/>
      <c r="E35" s="13">
        <f>C35</f>
        <v>0</v>
      </c>
      <c r="F35" s="13"/>
    </row>
    <row r="36" spans="1:6" ht="12.75">
      <c r="A36" s="15" t="s">
        <v>322</v>
      </c>
      <c r="B36" s="15">
        <v>225</v>
      </c>
      <c r="C36" s="13"/>
      <c r="D36" s="13"/>
      <c r="E36" s="13">
        <f>C36</f>
        <v>0</v>
      </c>
      <c r="F36" s="13"/>
    </row>
    <row r="37" spans="1:8" s="21" customFormat="1" ht="12.75">
      <c r="A37" s="3" t="s">
        <v>82</v>
      </c>
      <c r="B37" s="3">
        <v>226</v>
      </c>
      <c r="C37" s="36">
        <f>SUM(C38:C45)</f>
        <v>136117</v>
      </c>
      <c r="D37" s="23">
        <f>SUM(D38:D45)</f>
        <v>48789</v>
      </c>
      <c r="E37" s="23">
        <f>SUM(E38:E45)</f>
        <v>87328</v>
      </c>
      <c r="F37" s="23">
        <f>SUM(F38:F45)</f>
        <v>0</v>
      </c>
      <c r="H37" s="37">
        <v>81500</v>
      </c>
    </row>
    <row r="38" spans="1:6" ht="12.75">
      <c r="A38" s="15" t="s">
        <v>65</v>
      </c>
      <c r="B38" s="15">
        <v>226</v>
      </c>
      <c r="C38" s="13">
        <v>48789</v>
      </c>
      <c r="D38" s="13">
        <f>C38</f>
        <v>48789</v>
      </c>
      <c r="E38" s="13"/>
      <c r="F38" s="13"/>
    </row>
    <row r="39" spans="1:6" ht="12.75">
      <c r="A39" s="15" t="s">
        <v>66</v>
      </c>
      <c r="B39" s="15">
        <v>226</v>
      </c>
      <c r="C39" s="13"/>
      <c r="D39" s="13">
        <f>C39</f>
        <v>0</v>
      </c>
      <c r="E39" s="13"/>
      <c r="F39" s="13"/>
    </row>
    <row r="40" spans="1:6" ht="12.75">
      <c r="A40" s="15" t="s">
        <v>67</v>
      </c>
      <c r="B40" s="15">
        <v>226</v>
      </c>
      <c r="C40" s="13"/>
      <c r="D40" s="13">
        <f>C40</f>
        <v>0</v>
      </c>
      <c r="E40" s="13"/>
      <c r="F40" s="13"/>
    </row>
    <row r="41" spans="1:6" ht="12.75">
      <c r="A41" s="15" t="s">
        <v>491</v>
      </c>
      <c r="B41" s="15">
        <v>226</v>
      </c>
      <c r="C41" s="13">
        <v>39120</v>
      </c>
      <c r="D41" s="13"/>
      <c r="E41" s="13">
        <f>C41</f>
        <v>39120</v>
      </c>
      <c r="F41" s="13"/>
    </row>
    <row r="42" spans="1:6" ht="25.5">
      <c r="A42" s="15" t="s">
        <v>68</v>
      </c>
      <c r="B42" s="15">
        <v>226</v>
      </c>
      <c r="C42" s="13">
        <v>21020</v>
      </c>
      <c r="D42" s="13"/>
      <c r="E42" s="13">
        <f>C42</f>
        <v>21020</v>
      </c>
      <c r="F42" s="13"/>
    </row>
    <row r="43" spans="1:6" ht="12.75">
      <c r="A43" s="15" t="s">
        <v>69</v>
      </c>
      <c r="B43" s="15">
        <v>226</v>
      </c>
      <c r="C43" s="13">
        <v>15418</v>
      </c>
      <c r="D43" s="13"/>
      <c r="E43" s="13">
        <f>C43</f>
        <v>15418</v>
      </c>
      <c r="F43" s="13"/>
    </row>
    <row r="44" spans="1:6" ht="12.75">
      <c r="A44" s="15" t="s">
        <v>492</v>
      </c>
      <c r="B44" s="15">
        <v>226</v>
      </c>
      <c r="C44" s="13">
        <v>1770</v>
      </c>
      <c r="D44" s="13"/>
      <c r="E44" s="13">
        <f>C44</f>
        <v>1770</v>
      </c>
      <c r="F44" s="13"/>
    </row>
    <row r="45" spans="1:6" ht="25.5">
      <c r="A45" s="15" t="s">
        <v>257</v>
      </c>
      <c r="B45" s="15">
        <v>226</v>
      </c>
      <c r="C45" s="13">
        <v>10000</v>
      </c>
      <c r="D45" s="13"/>
      <c r="E45" s="13">
        <f>C45</f>
        <v>10000</v>
      </c>
      <c r="F45" s="13"/>
    </row>
    <row r="46" spans="1:6" s="21" customFormat="1" ht="12.75">
      <c r="A46" s="3" t="s">
        <v>83</v>
      </c>
      <c r="B46" s="3">
        <v>290</v>
      </c>
      <c r="C46" s="36">
        <f>SUM(C47:C48)</f>
        <v>5000</v>
      </c>
      <c r="D46" s="23">
        <f>SUM(D48:D48)</f>
        <v>0</v>
      </c>
      <c r="E46" s="23">
        <f>SUM(E47:E48)</f>
        <v>5000</v>
      </c>
      <c r="F46" s="23">
        <f>SUM(F48:F48)</f>
        <v>0</v>
      </c>
    </row>
    <row r="47" spans="1:6" s="79" customFormat="1" ht="12.75">
      <c r="A47" s="77" t="s">
        <v>258</v>
      </c>
      <c r="B47" s="15">
        <v>290</v>
      </c>
      <c r="C47" s="78">
        <v>5000</v>
      </c>
      <c r="D47" s="78"/>
      <c r="E47" s="13">
        <f>C47</f>
        <v>5000</v>
      </c>
      <c r="F47" s="78"/>
    </row>
    <row r="48" spans="1:6" ht="12.75">
      <c r="A48" s="15" t="s">
        <v>259</v>
      </c>
      <c r="B48" s="15">
        <v>290</v>
      </c>
      <c r="C48" s="13"/>
      <c r="D48" s="13"/>
      <c r="E48" s="13">
        <f>C48</f>
        <v>0</v>
      </c>
      <c r="F48" s="13"/>
    </row>
    <row r="49" spans="1:8" s="21" customFormat="1" ht="25.5">
      <c r="A49" s="3" t="s">
        <v>84</v>
      </c>
      <c r="B49" s="3">
        <v>340</v>
      </c>
      <c r="C49" s="36">
        <f>SUM(C50:C57)</f>
        <v>2443988.1599999997</v>
      </c>
      <c r="D49" s="23">
        <f>SUM(D50:D57)</f>
        <v>2337988.6599999997</v>
      </c>
      <c r="E49" s="23">
        <f>SUM(E50:E57)</f>
        <v>105999.5</v>
      </c>
      <c r="F49" s="23">
        <f>SUM(F50:F57)</f>
        <v>0</v>
      </c>
      <c r="H49" s="37"/>
    </row>
    <row r="50" spans="1:6" ht="12.75">
      <c r="A50" s="15" t="s">
        <v>70</v>
      </c>
      <c r="B50" s="15">
        <v>340</v>
      </c>
      <c r="C50" s="13">
        <f>Материалы!D19</f>
        <v>26000</v>
      </c>
      <c r="D50" s="13"/>
      <c r="E50" s="13">
        <f>C50</f>
        <v>26000</v>
      </c>
      <c r="F50" s="13"/>
    </row>
    <row r="51" spans="1:6" ht="12.75">
      <c r="A51" s="15" t="s">
        <v>71</v>
      </c>
      <c r="B51" s="15">
        <v>340</v>
      </c>
      <c r="C51" s="13">
        <f>Материалы!D27</f>
        <v>0</v>
      </c>
      <c r="D51" s="13">
        <f>C51</f>
        <v>0</v>
      </c>
      <c r="E51" s="13"/>
      <c r="F51" s="13"/>
    </row>
    <row r="52" spans="1:6" ht="12.75">
      <c r="A52" s="15" t="s">
        <v>72</v>
      </c>
      <c r="B52" s="15">
        <v>340</v>
      </c>
      <c r="C52" s="13">
        <f>Материалы!D43</f>
        <v>0</v>
      </c>
      <c r="D52" s="13"/>
      <c r="E52" s="13">
        <f>C52</f>
        <v>0</v>
      </c>
      <c r="F52" s="13"/>
    </row>
    <row r="53" spans="1:6" ht="12.75">
      <c r="A53" s="15" t="s">
        <v>73</v>
      </c>
      <c r="B53" s="15">
        <v>340</v>
      </c>
      <c r="C53" s="13">
        <f>Материалы!D56</f>
        <v>7999.5</v>
      </c>
      <c r="D53" s="13"/>
      <c r="E53" s="13">
        <f>C53</f>
        <v>7999.5</v>
      </c>
      <c r="F53" s="13"/>
    </row>
    <row r="54" spans="1:6" ht="12.75">
      <c r="A54" s="15" t="s">
        <v>74</v>
      </c>
      <c r="B54" s="15">
        <v>340</v>
      </c>
      <c r="C54" s="13">
        <f>Материалы!D122+Материалы!D129</f>
        <v>2337988.6599999997</v>
      </c>
      <c r="D54" s="13">
        <f>C54</f>
        <v>2337988.6599999997</v>
      </c>
      <c r="E54" s="13"/>
      <c r="F54" s="13"/>
    </row>
    <row r="55" spans="1:6" ht="12.75">
      <c r="A55" s="15" t="s">
        <v>75</v>
      </c>
      <c r="B55" s="15">
        <v>340</v>
      </c>
      <c r="C55" s="13">
        <f>Материалы!D67</f>
        <v>32000</v>
      </c>
      <c r="D55" s="13"/>
      <c r="E55" s="13">
        <f>C55</f>
        <v>32000</v>
      </c>
      <c r="F55" s="13"/>
    </row>
    <row r="56" spans="1:6" ht="25.5">
      <c r="A56" s="15" t="s">
        <v>76</v>
      </c>
      <c r="B56" s="15">
        <v>340</v>
      </c>
      <c r="C56" s="13">
        <f>Материалы!D85</f>
        <v>32000</v>
      </c>
      <c r="D56" s="13"/>
      <c r="E56" s="13">
        <f>C56</f>
        <v>32000</v>
      </c>
      <c r="F56" s="13"/>
    </row>
    <row r="57" spans="1:6" ht="12.75">
      <c r="A57" s="50" t="s">
        <v>232</v>
      </c>
      <c r="B57" s="15">
        <v>340</v>
      </c>
      <c r="C57" s="13">
        <f>Материалы!D116</f>
        <v>8000</v>
      </c>
      <c r="D57" s="13"/>
      <c r="E57" s="13">
        <f>C57</f>
        <v>8000</v>
      </c>
      <c r="F57" s="13"/>
    </row>
    <row r="58" spans="1:6" s="2" customFormat="1" ht="12.75">
      <c r="A58" s="18" t="s">
        <v>85</v>
      </c>
      <c r="B58" s="14"/>
      <c r="C58" s="19">
        <f>SUM(C9+C14+C19+C22+C24+C26+C31+C37+C46+C49)</f>
        <v>15522294.583579998</v>
      </c>
      <c r="D58" s="19">
        <f>SUM(D9+D14+D19+D22+D24+D26+D31+D37+D46+D49)</f>
        <v>10280415.9</v>
      </c>
      <c r="E58" s="19">
        <f>SUM(E9+E14+E19+E22+E24+E26+E31+E37+E46+E49)</f>
        <v>4816067.494228</v>
      </c>
      <c r="F58" s="19">
        <f>SUM(F9+F14+F19+F22+F24+F26+F31+F37+F46+F49)</f>
        <v>425811.189352</v>
      </c>
    </row>
    <row r="59" spans="1:6" s="2" customFormat="1" ht="12.75">
      <c r="A59" s="31" t="s">
        <v>167</v>
      </c>
      <c r="B59" s="14"/>
      <c r="C59" s="19">
        <f>'род плата'!E6</f>
        <v>1059589.0772048193</v>
      </c>
      <c r="D59" s="19">
        <f>C59</f>
        <v>1059589.0772048193</v>
      </c>
      <c r="E59" s="19"/>
      <c r="F59" s="19"/>
    </row>
    <row r="60" spans="1:6" s="1" customFormat="1" ht="38.25">
      <c r="A60" s="24" t="s">
        <v>166</v>
      </c>
      <c r="B60" s="8">
        <v>33176</v>
      </c>
      <c r="C60" s="8"/>
      <c r="D60" s="17">
        <f>(D58-D59)/B60</f>
        <v>277.93666574617737</v>
      </c>
      <c r="E60" s="17">
        <f>E58/B60</f>
        <v>145.16721407728477</v>
      </c>
      <c r="F60" s="17">
        <f>F58/B60</f>
        <v>12.834916486375693</v>
      </c>
    </row>
    <row r="62" ht="12.75">
      <c r="A62" s="1"/>
    </row>
  </sheetData>
  <sheetProtection/>
  <mergeCells count="8">
    <mergeCell ref="A1:D1"/>
    <mergeCell ref="A3:F3"/>
    <mergeCell ref="C6:F6"/>
    <mergeCell ref="A6:A8"/>
    <mergeCell ref="B6:B8"/>
    <mergeCell ref="D7:E7"/>
    <mergeCell ref="F7:F8"/>
    <mergeCell ref="C7:C8"/>
  </mergeCells>
  <printOptions/>
  <pageMargins left="0" right="0" top="0" bottom="0" header="0" footer="0"/>
  <pageSetup fitToHeight="2" fitToWidth="2" horizontalDpi="600" verticalDpi="600" orientation="landscape" paperSize="9" r:id="rId1"/>
  <rowBreaks count="1" manualBreakCount="1">
    <brk id="31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139"/>
  <sheetViews>
    <sheetView tabSelected="1" zoomScalePageLayoutView="0" workbookViewId="0" topLeftCell="A91">
      <selection activeCell="H119" sqref="H119"/>
    </sheetView>
  </sheetViews>
  <sheetFormatPr defaultColWidth="9.140625" defaultRowHeight="12.75"/>
  <cols>
    <col min="1" max="1" width="25.00390625" style="0" customWidth="1"/>
    <col min="2" max="2" width="13.57421875" style="0" bestFit="1" customWidth="1"/>
    <col min="4" max="4" width="9.421875" style="0" customWidth="1"/>
    <col min="5" max="5" width="10.57421875" style="0" bestFit="1" customWidth="1"/>
    <col min="6" max="8" width="9.57421875" style="0" bestFit="1" customWidth="1"/>
  </cols>
  <sheetData>
    <row r="1" spans="1:4" ht="15">
      <c r="A1" s="243" t="s">
        <v>271</v>
      </c>
      <c r="B1" s="243"/>
      <c r="C1" s="243"/>
      <c r="D1" s="243"/>
    </row>
    <row r="3" spans="1:4" ht="15">
      <c r="A3" s="243" t="s">
        <v>164</v>
      </c>
      <c r="B3" s="243"/>
      <c r="C3" s="243"/>
      <c r="D3" s="243"/>
    </row>
    <row r="5" spans="1:4" ht="12.75">
      <c r="A5" s="6"/>
      <c r="B5" s="6"/>
      <c r="C5" s="6"/>
      <c r="D5" s="6"/>
    </row>
    <row r="6" spans="1:8" ht="15">
      <c r="A6" s="30" t="s">
        <v>106</v>
      </c>
      <c r="B6" s="30" t="s">
        <v>107</v>
      </c>
      <c r="C6" s="30" t="s">
        <v>108</v>
      </c>
      <c r="D6" s="30" t="s">
        <v>109</v>
      </c>
      <c r="H6" s="38">
        <f>D19+D56+D67+D85+D116</f>
        <v>105999.5</v>
      </c>
    </row>
    <row r="7" spans="1:4" ht="12.75">
      <c r="A7" s="248" t="s">
        <v>70</v>
      </c>
      <c r="B7" s="248"/>
      <c r="C7" s="248"/>
      <c r="D7" s="248"/>
    </row>
    <row r="8" spans="1:4" ht="12.75">
      <c r="A8" s="6" t="s">
        <v>95</v>
      </c>
      <c r="B8" s="6">
        <v>25</v>
      </c>
      <c r="C8" s="13">
        <v>13.1</v>
      </c>
      <c r="D8" s="13">
        <f>B8*C8</f>
        <v>327.5</v>
      </c>
    </row>
    <row r="9" spans="1:4" ht="12.75">
      <c r="A9" s="6" t="s">
        <v>96</v>
      </c>
      <c r="B9" s="6">
        <v>20</v>
      </c>
      <c r="C9" s="13">
        <v>10.5</v>
      </c>
      <c r="D9" s="13">
        <f aca="true" t="shared" si="0" ref="D9:D18">B9*C9</f>
        <v>210</v>
      </c>
    </row>
    <row r="10" spans="1:4" ht="12.75">
      <c r="A10" s="6" t="s">
        <v>97</v>
      </c>
      <c r="B10" s="6">
        <v>10</v>
      </c>
      <c r="C10" s="13">
        <v>34</v>
      </c>
      <c r="D10" s="13">
        <f t="shared" si="0"/>
        <v>340</v>
      </c>
    </row>
    <row r="11" spans="1:4" ht="12.75">
      <c r="A11" s="6" t="s">
        <v>98</v>
      </c>
      <c r="B11" s="6">
        <v>50</v>
      </c>
      <c r="C11" s="13">
        <v>20</v>
      </c>
      <c r="D11" s="13">
        <f t="shared" si="0"/>
        <v>1000</v>
      </c>
    </row>
    <row r="12" spans="1:4" ht="12.75">
      <c r="A12" s="6" t="s">
        <v>99</v>
      </c>
      <c r="B12" s="6">
        <v>10</v>
      </c>
      <c r="C12" s="13">
        <v>5.5</v>
      </c>
      <c r="D12" s="13">
        <f t="shared" si="0"/>
        <v>55</v>
      </c>
    </row>
    <row r="13" spans="1:4" ht="12.75">
      <c r="A13" s="6" t="s">
        <v>100</v>
      </c>
      <c r="B13" s="6">
        <v>25</v>
      </c>
      <c r="C13" s="13">
        <v>34.5</v>
      </c>
      <c r="D13" s="13">
        <f t="shared" si="0"/>
        <v>862.5</v>
      </c>
    </row>
    <row r="14" spans="1:4" ht="12.75">
      <c r="A14" s="6" t="s">
        <v>101</v>
      </c>
      <c r="B14" s="6">
        <v>50</v>
      </c>
      <c r="C14" s="13">
        <v>5</v>
      </c>
      <c r="D14" s="13">
        <f t="shared" si="0"/>
        <v>250</v>
      </c>
    </row>
    <row r="15" spans="1:6" ht="12.75">
      <c r="A15" s="6" t="s">
        <v>102</v>
      </c>
      <c r="B15" s="6"/>
      <c r="C15" s="13"/>
      <c r="D15" s="13">
        <v>22230</v>
      </c>
      <c r="F15" s="38">
        <f>26000-D19</f>
        <v>0</v>
      </c>
    </row>
    <row r="16" spans="1:4" ht="12.75">
      <c r="A16" s="6" t="s">
        <v>103</v>
      </c>
      <c r="B16" s="6">
        <v>10</v>
      </c>
      <c r="C16" s="13">
        <v>40.5</v>
      </c>
      <c r="D16" s="13">
        <f t="shared" si="0"/>
        <v>405</v>
      </c>
    </row>
    <row r="17" spans="1:4" ht="12.75">
      <c r="A17" s="6" t="s">
        <v>104</v>
      </c>
      <c r="B17" s="6">
        <v>20</v>
      </c>
      <c r="C17" s="13">
        <v>6</v>
      </c>
      <c r="D17" s="13">
        <f t="shared" si="0"/>
        <v>120</v>
      </c>
    </row>
    <row r="18" spans="1:4" ht="12.75">
      <c r="A18" s="6" t="s">
        <v>105</v>
      </c>
      <c r="B18" s="6">
        <v>50</v>
      </c>
      <c r="C18" s="13">
        <v>4</v>
      </c>
      <c r="D18" s="13">
        <f t="shared" si="0"/>
        <v>200</v>
      </c>
    </row>
    <row r="19" spans="1:4" ht="12.75">
      <c r="A19" s="7" t="s">
        <v>85</v>
      </c>
      <c r="B19" s="6"/>
      <c r="C19" s="13"/>
      <c r="D19" s="39">
        <f>SUM(D8:D18)</f>
        <v>26000</v>
      </c>
    </row>
    <row r="20" spans="1:4" ht="12.75">
      <c r="A20" s="248" t="s">
        <v>71</v>
      </c>
      <c r="B20" s="248"/>
      <c r="C20" s="248"/>
      <c r="D20" s="248"/>
    </row>
    <row r="21" spans="1:4" ht="12.75">
      <c r="A21" s="81" t="s">
        <v>272</v>
      </c>
      <c r="B21" s="6"/>
      <c r="C21" s="13"/>
      <c r="D21" s="13"/>
    </row>
    <row r="22" spans="1:4" ht="12.75">
      <c r="A22" s="81" t="s">
        <v>273</v>
      </c>
      <c r="B22" s="6"/>
      <c r="C22" s="13"/>
      <c r="D22" s="13"/>
    </row>
    <row r="23" spans="1:4" ht="12.75">
      <c r="A23" s="81" t="s">
        <v>274</v>
      </c>
      <c r="B23" s="6"/>
      <c r="C23" s="13"/>
      <c r="D23" s="13"/>
    </row>
    <row r="24" spans="1:4" ht="12.75">
      <c r="A24" s="81" t="s">
        <v>275</v>
      </c>
      <c r="B24" s="6"/>
      <c r="C24" s="13"/>
      <c r="D24" s="13"/>
    </row>
    <row r="25" spans="1:4" ht="12.75">
      <c r="A25" s="81" t="s">
        <v>276</v>
      </c>
      <c r="B25" s="6"/>
      <c r="C25" s="13"/>
      <c r="D25" s="13"/>
    </row>
    <row r="26" spans="1:4" ht="12.75">
      <c r="A26" s="81" t="s">
        <v>277</v>
      </c>
      <c r="B26" s="6"/>
      <c r="C26" s="13"/>
      <c r="D26" s="13"/>
    </row>
    <row r="27" spans="1:4" ht="12.75">
      <c r="A27" s="7" t="s">
        <v>85</v>
      </c>
      <c r="B27" s="8"/>
      <c r="C27" s="8"/>
      <c r="D27" s="39">
        <f>SUM(D21:D26)</f>
        <v>0</v>
      </c>
    </row>
    <row r="28" spans="1:4" ht="12.75">
      <c r="A28" s="248" t="s">
        <v>72</v>
      </c>
      <c r="B28" s="248"/>
      <c r="C28" s="248"/>
      <c r="D28" s="248"/>
    </row>
    <row r="29" spans="1:4" ht="12.75">
      <c r="A29" s="6" t="s">
        <v>111</v>
      </c>
      <c r="B29" s="6"/>
      <c r="C29" s="13">
        <v>780</v>
      </c>
      <c r="D29" s="13">
        <f>B29*C29</f>
        <v>0</v>
      </c>
    </row>
    <row r="30" spans="1:4" ht="12.75">
      <c r="A30" s="6" t="s">
        <v>122</v>
      </c>
      <c r="B30" s="6"/>
      <c r="C30" s="13">
        <v>220</v>
      </c>
      <c r="D30" s="13">
        <f aca="true" t="shared" si="1" ref="D30:D42">B30*C30</f>
        <v>0</v>
      </c>
    </row>
    <row r="31" spans="1:4" ht="12.75">
      <c r="A31" s="6" t="s">
        <v>112</v>
      </c>
      <c r="B31" s="6"/>
      <c r="C31" s="13">
        <v>110</v>
      </c>
      <c r="D31" s="13">
        <f t="shared" si="1"/>
        <v>0</v>
      </c>
    </row>
    <row r="32" spans="1:4" ht="12.75">
      <c r="A32" s="6" t="s">
        <v>113</v>
      </c>
      <c r="B32" s="6"/>
      <c r="C32" s="13">
        <v>140</v>
      </c>
      <c r="D32" s="13">
        <f t="shared" si="1"/>
        <v>0</v>
      </c>
    </row>
    <row r="33" spans="1:4" ht="12.75">
      <c r="A33" s="6" t="s">
        <v>114</v>
      </c>
      <c r="B33" s="6"/>
      <c r="C33" s="13">
        <v>20</v>
      </c>
      <c r="D33" s="13">
        <f t="shared" si="1"/>
        <v>0</v>
      </c>
    </row>
    <row r="34" spans="1:4" ht="12.75">
      <c r="A34" s="6" t="s">
        <v>115</v>
      </c>
      <c r="B34" s="6"/>
      <c r="C34" s="13">
        <v>20</v>
      </c>
      <c r="D34" s="13">
        <f t="shared" si="1"/>
        <v>0</v>
      </c>
    </row>
    <row r="35" spans="1:4" ht="12.75">
      <c r="A35" s="6" t="s">
        <v>278</v>
      </c>
      <c r="B35" s="6"/>
      <c r="C35" s="13">
        <v>30</v>
      </c>
      <c r="D35" s="13">
        <f t="shared" si="1"/>
        <v>0</v>
      </c>
    </row>
    <row r="36" spans="1:4" ht="12.75">
      <c r="A36" s="6" t="s">
        <v>279</v>
      </c>
      <c r="B36" s="6"/>
      <c r="C36" s="13">
        <v>100</v>
      </c>
      <c r="D36" s="13">
        <f t="shared" si="1"/>
        <v>0</v>
      </c>
    </row>
    <row r="37" spans="1:4" ht="12.75">
      <c r="A37" s="6" t="s">
        <v>116</v>
      </c>
      <c r="B37" s="6"/>
      <c r="C37" s="13">
        <v>40</v>
      </c>
      <c r="D37" s="13">
        <f t="shared" si="1"/>
        <v>0</v>
      </c>
    </row>
    <row r="38" spans="1:4" ht="12.75">
      <c r="A38" s="6" t="s">
        <v>117</v>
      </c>
      <c r="B38" s="6"/>
      <c r="C38" s="13">
        <v>110</v>
      </c>
      <c r="D38" s="13">
        <f t="shared" si="1"/>
        <v>0</v>
      </c>
    </row>
    <row r="39" spans="1:4" ht="12.75">
      <c r="A39" s="6" t="s">
        <v>118</v>
      </c>
      <c r="B39" s="6"/>
      <c r="C39" s="13">
        <v>40</v>
      </c>
      <c r="D39" s="13">
        <f t="shared" si="1"/>
        <v>0</v>
      </c>
    </row>
    <row r="40" spans="1:4" ht="12.75">
      <c r="A40" s="6" t="s">
        <v>119</v>
      </c>
      <c r="B40" s="6"/>
      <c r="C40" s="13">
        <v>50</v>
      </c>
      <c r="D40" s="13">
        <f t="shared" si="1"/>
        <v>0</v>
      </c>
    </row>
    <row r="41" spans="1:4" ht="12.75">
      <c r="A41" s="6" t="s">
        <v>120</v>
      </c>
      <c r="B41" s="6"/>
      <c r="C41" s="13">
        <v>150</v>
      </c>
      <c r="D41" s="13">
        <f t="shared" si="1"/>
        <v>0</v>
      </c>
    </row>
    <row r="42" spans="1:4" ht="12.75">
      <c r="A42" s="6" t="s">
        <v>121</v>
      </c>
      <c r="B42" s="6"/>
      <c r="C42" s="13">
        <v>180</v>
      </c>
      <c r="D42" s="13">
        <f t="shared" si="1"/>
        <v>0</v>
      </c>
    </row>
    <row r="43" spans="1:4" ht="12.75">
      <c r="A43" s="7" t="s">
        <v>85</v>
      </c>
      <c r="B43" s="8"/>
      <c r="C43" s="8"/>
      <c r="D43" s="39">
        <f>SUM(D29:D42)</f>
        <v>0</v>
      </c>
    </row>
    <row r="44" spans="1:4" ht="12.75">
      <c r="A44" s="248" t="s">
        <v>123</v>
      </c>
      <c r="B44" s="248"/>
      <c r="C44" s="248"/>
      <c r="D44" s="248"/>
    </row>
    <row r="45" spans="1:4" ht="12.75">
      <c r="A45" s="6" t="s">
        <v>124</v>
      </c>
      <c r="B45" s="6">
        <v>24</v>
      </c>
      <c r="C45" s="13">
        <v>180</v>
      </c>
      <c r="D45" s="13">
        <f>B45*C45</f>
        <v>4320</v>
      </c>
    </row>
    <row r="46" spans="1:4" ht="12.75">
      <c r="A46" s="6" t="s">
        <v>125</v>
      </c>
      <c r="B46" s="6">
        <v>43</v>
      </c>
      <c r="C46" s="13">
        <v>1.5</v>
      </c>
      <c r="D46" s="13">
        <f aca="true" t="shared" si="2" ref="D46:D55">B46*C46</f>
        <v>64.5</v>
      </c>
    </row>
    <row r="47" spans="1:4" ht="12.75">
      <c r="A47" s="6" t="s">
        <v>126</v>
      </c>
      <c r="B47" s="6">
        <v>10</v>
      </c>
      <c r="C47" s="13">
        <v>50</v>
      </c>
      <c r="D47" s="13">
        <f t="shared" si="2"/>
        <v>500</v>
      </c>
    </row>
    <row r="48" spans="1:4" ht="12.75">
      <c r="A48" s="6" t="s">
        <v>127</v>
      </c>
      <c r="B48" s="6">
        <v>20</v>
      </c>
      <c r="C48" s="13">
        <v>10</v>
      </c>
      <c r="D48" s="13">
        <f t="shared" si="2"/>
        <v>200</v>
      </c>
    </row>
    <row r="49" spans="1:4" ht="12.75">
      <c r="A49" s="6" t="s">
        <v>128</v>
      </c>
      <c r="B49" s="6">
        <v>10</v>
      </c>
      <c r="C49" s="13">
        <v>25</v>
      </c>
      <c r="D49" s="13">
        <f t="shared" si="2"/>
        <v>250</v>
      </c>
    </row>
    <row r="50" spans="1:4" ht="12.75">
      <c r="A50" s="6" t="s">
        <v>129</v>
      </c>
      <c r="B50" s="6">
        <v>50</v>
      </c>
      <c r="C50" s="13">
        <v>15</v>
      </c>
      <c r="D50" s="13">
        <f t="shared" si="2"/>
        <v>750</v>
      </c>
    </row>
    <row r="51" spans="1:4" ht="12.75">
      <c r="A51" s="6" t="s">
        <v>130</v>
      </c>
      <c r="B51" s="6">
        <v>10</v>
      </c>
      <c r="C51" s="13">
        <v>40</v>
      </c>
      <c r="D51" s="13">
        <f t="shared" si="2"/>
        <v>400</v>
      </c>
    </row>
    <row r="52" spans="1:4" ht="12.75">
      <c r="A52" s="6" t="s">
        <v>131</v>
      </c>
      <c r="B52" s="6">
        <v>5</v>
      </c>
      <c r="C52" s="13">
        <v>15</v>
      </c>
      <c r="D52" s="13">
        <f t="shared" si="2"/>
        <v>75</v>
      </c>
    </row>
    <row r="53" spans="1:4" ht="12.75">
      <c r="A53" s="6" t="s">
        <v>132</v>
      </c>
      <c r="B53" s="6">
        <v>10</v>
      </c>
      <c r="C53" s="13">
        <v>20</v>
      </c>
      <c r="D53" s="13">
        <f t="shared" si="2"/>
        <v>200</v>
      </c>
    </row>
    <row r="54" spans="1:4" ht="12.75">
      <c r="A54" s="6" t="s">
        <v>133</v>
      </c>
      <c r="B54" s="6">
        <v>20</v>
      </c>
      <c r="C54" s="13">
        <v>32</v>
      </c>
      <c r="D54" s="13">
        <f t="shared" si="2"/>
        <v>640</v>
      </c>
    </row>
    <row r="55" spans="1:4" ht="12.75">
      <c r="A55" s="6" t="s">
        <v>143</v>
      </c>
      <c r="B55" s="6">
        <v>20</v>
      </c>
      <c r="C55" s="13">
        <v>30</v>
      </c>
      <c r="D55" s="13">
        <f t="shared" si="2"/>
        <v>600</v>
      </c>
    </row>
    <row r="56" spans="1:4" ht="12.75">
      <c r="A56" s="7" t="s">
        <v>85</v>
      </c>
      <c r="B56" s="8"/>
      <c r="C56" s="8"/>
      <c r="D56" s="17">
        <f>SUM(D45:D55)</f>
        <v>7999.5</v>
      </c>
    </row>
    <row r="57" spans="1:4" ht="12.75">
      <c r="A57" s="248" t="s">
        <v>75</v>
      </c>
      <c r="B57" s="248"/>
      <c r="C57" s="248"/>
      <c r="D57" s="248"/>
    </row>
    <row r="58" spans="1:4" ht="12.75">
      <c r="A58" s="6" t="s">
        <v>134</v>
      </c>
      <c r="B58" s="6">
        <v>30</v>
      </c>
      <c r="C58" s="13">
        <v>40</v>
      </c>
      <c r="D58" s="13">
        <f>B58*C58</f>
        <v>1200</v>
      </c>
    </row>
    <row r="59" spans="1:4" ht="12.75">
      <c r="A59" s="6" t="s">
        <v>135</v>
      </c>
      <c r="B59" s="6">
        <v>90</v>
      </c>
      <c r="C59" s="13">
        <v>80</v>
      </c>
      <c r="D59" s="13">
        <f aca="true" t="shared" si="3" ref="D59:D66">B59*C59</f>
        <v>7200</v>
      </c>
    </row>
    <row r="60" spans="1:4" ht="12.75">
      <c r="A60" s="6" t="s">
        <v>75</v>
      </c>
      <c r="B60" s="6">
        <v>90</v>
      </c>
      <c r="C60" s="13">
        <v>40</v>
      </c>
      <c r="D60" s="13">
        <f t="shared" si="3"/>
        <v>3600</v>
      </c>
    </row>
    <row r="61" spans="1:4" ht="12.75">
      <c r="A61" s="6" t="s">
        <v>136</v>
      </c>
      <c r="B61" s="6">
        <v>90</v>
      </c>
      <c r="C61" s="13">
        <v>45</v>
      </c>
      <c r="D61" s="13">
        <f t="shared" si="3"/>
        <v>4050</v>
      </c>
    </row>
    <row r="62" spans="1:4" ht="12.75">
      <c r="A62" s="6" t="s">
        <v>137</v>
      </c>
      <c r="B62" s="6">
        <v>220</v>
      </c>
      <c r="C62" s="13">
        <v>20</v>
      </c>
      <c r="D62" s="13">
        <f t="shared" si="3"/>
        <v>4400</v>
      </c>
    </row>
    <row r="63" spans="1:4" ht="12.75">
      <c r="A63" s="6" t="s">
        <v>138</v>
      </c>
      <c r="B63" s="6">
        <v>220</v>
      </c>
      <c r="C63" s="13">
        <v>40</v>
      </c>
      <c r="D63" s="13">
        <f t="shared" si="3"/>
        <v>8800</v>
      </c>
    </row>
    <row r="64" spans="1:4" ht="12.75">
      <c r="A64" s="6" t="s">
        <v>139</v>
      </c>
      <c r="B64" s="6">
        <v>40</v>
      </c>
      <c r="C64" s="13">
        <v>10</v>
      </c>
      <c r="D64" s="13">
        <f t="shared" si="3"/>
        <v>400</v>
      </c>
    </row>
    <row r="65" spans="1:4" ht="12.75">
      <c r="A65" s="81" t="s">
        <v>261</v>
      </c>
      <c r="B65" s="6">
        <v>10</v>
      </c>
      <c r="C65" s="13">
        <v>85</v>
      </c>
      <c r="D65" s="13">
        <f t="shared" si="3"/>
        <v>850</v>
      </c>
    </row>
    <row r="66" spans="1:4" ht="12.75">
      <c r="A66" s="6" t="s">
        <v>140</v>
      </c>
      <c r="B66" s="6">
        <v>20</v>
      </c>
      <c r="C66" s="13">
        <v>75</v>
      </c>
      <c r="D66" s="13">
        <f t="shared" si="3"/>
        <v>1500</v>
      </c>
    </row>
    <row r="67" spans="1:4" ht="12.75">
      <c r="A67" s="7" t="s">
        <v>85</v>
      </c>
      <c r="B67" s="8"/>
      <c r="C67" s="8"/>
      <c r="D67" s="39">
        <f>SUM(D58:D66)</f>
        <v>32000</v>
      </c>
    </row>
    <row r="68" spans="1:4" ht="12.75">
      <c r="A68" s="7"/>
      <c r="B68" s="8"/>
      <c r="C68" s="8"/>
      <c r="D68" s="39"/>
    </row>
    <row r="69" spans="1:4" ht="12.75">
      <c r="A69" s="248" t="s">
        <v>150</v>
      </c>
      <c r="B69" s="248"/>
      <c r="C69" s="248"/>
      <c r="D69" s="248"/>
    </row>
    <row r="70" spans="1:4" ht="12.75">
      <c r="A70" s="83" t="s">
        <v>153</v>
      </c>
      <c r="B70" s="84">
        <v>10</v>
      </c>
      <c r="C70" s="84">
        <v>8</v>
      </c>
      <c r="D70" s="13">
        <f>B70*C70</f>
        <v>80</v>
      </c>
    </row>
    <row r="71" spans="1:4" ht="12.75">
      <c r="A71" s="83" t="s">
        <v>161</v>
      </c>
      <c r="B71" s="84">
        <v>5</v>
      </c>
      <c r="C71" s="84">
        <v>250</v>
      </c>
      <c r="D71" s="13">
        <f>B71*C71</f>
        <v>1250</v>
      </c>
    </row>
    <row r="72" spans="1:4" ht="12.75">
      <c r="A72" s="83" t="s">
        <v>280</v>
      </c>
      <c r="B72" s="84"/>
      <c r="C72" s="84">
        <v>250</v>
      </c>
      <c r="D72" s="13">
        <f>B72*C72</f>
        <v>0</v>
      </c>
    </row>
    <row r="73" spans="1:4" ht="12.75">
      <c r="A73" s="6" t="s">
        <v>155</v>
      </c>
      <c r="B73" s="6">
        <v>6</v>
      </c>
      <c r="C73" s="13">
        <v>250</v>
      </c>
      <c r="D73" s="13">
        <f aca="true" t="shared" si="4" ref="D73:D84">B73*C73</f>
        <v>1500</v>
      </c>
    </row>
    <row r="74" spans="1:4" ht="12.75">
      <c r="A74" s="6" t="s">
        <v>162</v>
      </c>
      <c r="B74" s="6">
        <v>5</v>
      </c>
      <c r="C74" s="13">
        <v>250</v>
      </c>
      <c r="D74" s="13">
        <f t="shared" si="4"/>
        <v>1250</v>
      </c>
    </row>
    <row r="75" spans="1:4" ht="12.75">
      <c r="A75" s="6" t="s">
        <v>163</v>
      </c>
      <c r="B75" s="6">
        <v>5</v>
      </c>
      <c r="C75" s="13">
        <v>250</v>
      </c>
      <c r="D75" s="13">
        <f t="shared" si="4"/>
        <v>1250</v>
      </c>
    </row>
    <row r="76" spans="1:4" ht="12.75">
      <c r="A76" s="6" t="s">
        <v>156</v>
      </c>
      <c r="B76" s="6">
        <v>100</v>
      </c>
      <c r="C76" s="13">
        <v>50</v>
      </c>
      <c r="D76" s="13">
        <f t="shared" si="4"/>
        <v>5000</v>
      </c>
    </row>
    <row r="77" spans="1:4" ht="12.75">
      <c r="A77" s="6" t="s">
        <v>157</v>
      </c>
      <c r="B77" s="6">
        <v>60</v>
      </c>
      <c r="C77" s="13">
        <v>30</v>
      </c>
      <c r="D77" s="13">
        <f t="shared" si="4"/>
        <v>1800</v>
      </c>
    </row>
    <row r="78" spans="1:4" ht="12.75">
      <c r="A78" s="6" t="s">
        <v>159</v>
      </c>
      <c r="B78" s="6">
        <v>5</v>
      </c>
      <c r="C78" s="13">
        <v>140</v>
      </c>
      <c r="D78" s="13">
        <f t="shared" si="4"/>
        <v>700</v>
      </c>
    </row>
    <row r="79" spans="1:4" ht="12.75">
      <c r="A79" s="6" t="s">
        <v>110</v>
      </c>
      <c r="B79" s="6">
        <v>350</v>
      </c>
      <c r="C79" s="13">
        <v>50</v>
      </c>
      <c r="D79" s="13">
        <f t="shared" si="4"/>
        <v>17500</v>
      </c>
    </row>
    <row r="80" spans="1:4" ht="12.75">
      <c r="A80" s="6" t="s">
        <v>160</v>
      </c>
      <c r="B80" s="6">
        <v>26</v>
      </c>
      <c r="C80" s="13">
        <v>25</v>
      </c>
      <c r="D80" s="13">
        <f t="shared" si="4"/>
        <v>650</v>
      </c>
    </row>
    <row r="81" spans="1:4" ht="12.75">
      <c r="A81" s="6" t="s">
        <v>154</v>
      </c>
      <c r="B81" s="6">
        <v>30</v>
      </c>
      <c r="C81" s="13">
        <v>20</v>
      </c>
      <c r="D81" s="13">
        <f t="shared" si="4"/>
        <v>600</v>
      </c>
    </row>
    <row r="82" spans="1:4" ht="12.75">
      <c r="A82" s="6" t="s">
        <v>281</v>
      </c>
      <c r="B82" s="6">
        <v>120</v>
      </c>
      <c r="C82" s="13">
        <v>1</v>
      </c>
      <c r="D82" s="13">
        <f t="shared" si="4"/>
        <v>120</v>
      </c>
    </row>
    <row r="83" spans="1:4" ht="12.75">
      <c r="A83" s="81" t="s">
        <v>282</v>
      </c>
      <c r="B83" s="6">
        <v>6</v>
      </c>
      <c r="C83" s="13">
        <v>50</v>
      </c>
      <c r="D83" s="13">
        <f t="shared" si="4"/>
        <v>300</v>
      </c>
    </row>
    <row r="84" spans="1:4" ht="12.75">
      <c r="A84" s="6" t="s">
        <v>158</v>
      </c>
      <c r="B84" s="6"/>
      <c r="C84" s="13">
        <v>80</v>
      </c>
      <c r="D84" s="13">
        <f t="shared" si="4"/>
        <v>0</v>
      </c>
    </row>
    <row r="85" spans="1:4" ht="12.75">
      <c r="A85" s="7" t="s">
        <v>85</v>
      </c>
      <c r="B85" s="8"/>
      <c r="C85" s="8"/>
      <c r="D85" s="39">
        <f>SUM(D70:D84)</f>
        <v>32000</v>
      </c>
    </row>
    <row r="87" spans="1:4" ht="12.75">
      <c r="A87" s="248" t="s">
        <v>232</v>
      </c>
      <c r="B87" s="248"/>
      <c r="C87" s="248"/>
      <c r="D87" s="248"/>
    </row>
    <row r="88" spans="1:4" ht="12.75">
      <c r="A88" s="6" t="s">
        <v>141</v>
      </c>
      <c r="B88" s="6"/>
      <c r="C88" s="13">
        <v>1400</v>
      </c>
      <c r="D88" s="13">
        <f>B88*C88</f>
        <v>0</v>
      </c>
    </row>
    <row r="89" spans="1:4" ht="12.75">
      <c r="A89" s="6" t="s">
        <v>151</v>
      </c>
      <c r="B89" s="6"/>
      <c r="C89" s="13">
        <v>350</v>
      </c>
      <c r="D89" s="13">
        <f>B89*C89</f>
        <v>0</v>
      </c>
    </row>
    <row r="90" spans="1:4" ht="12.75">
      <c r="A90" s="6" t="s">
        <v>152</v>
      </c>
      <c r="B90" s="6"/>
      <c r="C90" s="13">
        <v>250</v>
      </c>
      <c r="D90" s="13">
        <f>B90*C90</f>
        <v>0</v>
      </c>
    </row>
    <row r="91" spans="1:4" ht="12.75">
      <c r="A91" s="6" t="s">
        <v>142</v>
      </c>
      <c r="B91" s="6"/>
      <c r="C91" s="13">
        <v>2200</v>
      </c>
      <c r="D91" s="13">
        <f>B91*C91</f>
        <v>0</v>
      </c>
    </row>
    <row r="92" spans="1:4" ht="12.75">
      <c r="A92" s="6" t="s">
        <v>145</v>
      </c>
      <c r="B92" s="6"/>
      <c r="C92" s="13">
        <v>60</v>
      </c>
      <c r="D92" s="13">
        <f>B92*C92</f>
        <v>0</v>
      </c>
    </row>
    <row r="93" spans="1:4" ht="12.75">
      <c r="A93" s="81" t="s">
        <v>283</v>
      </c>
      <c r="B93" s="6"/>
      <c r="C93" s="13"/>
      <c r="D93" s="13"/>
    </row>
    <row r="94" spans="1:4" ht="12.75">
      <c r="A94" s="6" t="s">
        <v>149</v>
      </c>
      <c r="B94" s="6"/>
      <c r="C94" s="13">
        <v>500</v>
      </c>
      <c r="D94" s="13">
        <f>B94*C94</f>
        <v>0</v>
      </c>
    </row>
    <row r="95" spans="1:4" ht="12.75">
      <c r="A95" s="6" t="s">
        <v>146</v>
      </c>
      <c r="B95" s="6"/>
      <c r="C95" s="13">
        <v>20</v>
      </c>
      <c r="D95" s="13">
        <f>B95*C95</f>
        <v>0</v>
      </c>
    </row>
    <row r="96" spans="1:4" ht="12.75">
      <c r="A96" s="6" t="s">
        <v>147</v>
      </c>
      <c r="B96" s="6"/>
      <c r="C96" s="13"/>
      <c r="D96" s="13"/>
    </row>
    <row r="97" spans="1:4" ht="12.75">
      <c r="A97" s="81" t="s">
        <v>284</v>
      </c>
      <c r="B97" s="6"/>
      <c r="C97" s="13"/>
      <c r="D97" s="13"/>
    </row>
    <row r="98" spans="1:4" ht="12.75">
      <c r="A98" s="6" t="s">
        <v>148</v>
      </c>
      <c r="B98" s="6"/>
      <c r="C98" s="13">
        <v>20</v>
      </c>
      <c r="D98" s="13">
        <f>B98*C98</f>
        <v>0</v>
      </c>
    </row>
    <row r="99" spans="1:4" ht="12.75">
      <c r="A99" s="81" t="s">
        <v>144</v>
      </c>
      <c r="B99" s="6"/>
      <c r="C99" s="13"/>
      <c r="D99" s="13"/>
    </row>
    <row r="100" spans="1:6" ht="12.75">
      <c r="A100" s="81" t="s">
        <v>285</v>
      </c>
      <c r="B100" s="6"/>
      <c r="C100" s="13"/>
      <c r="D100" s="13"/>
      <c r="E100" s="38"/>
      <c r="F100" s="38"/>
    </row>
    <row r="101" spans="1:4" ht="12.75">
      <c r="A101" s="81" t="s">
        <v>286</v>
      </c>
      <c r="B101" s="6"/>
      <c r="C101" s="13"/>
      <c r="D101" s="13"/>
    </row>
    <row r="102" spans="1:4" ht="12.75">
      <c r="A102" s="81" t="s">
        <v>287</v>
      </c>
      <c r="B102" s="6"/>
      <c r="C102" s="13"/>
      <c r="D102" s="13"/>
    </row>
    <row r="103" spans="1:4" ht="12.75">
      <c r="A103" s="81" t="s">
        <v>288</v>
      </c>
      <c r="B103" s="6"/>
      <c r="C103" s="13"/>
      <c r="D103" s="13"/>
    </row>
    <row r="104" spans="1:4" ht="12.75">
      <c r="A104" s="81" t="s">
        <v>289</v>
      </c>
      <c r="B104" s="6"/>
      <c r="C104" s="13"/>
      <c r="D104" s="13"/>
    </row>
    <row r="105" spans="1:4" ht="12.75">
      <c r="A105" s="81" t="s">
        <v>290</v>
      </c>
      <c r="B105" s="6"/>
      <c r="C105" s="13"/>
      <c r="D105" s="13"/>
    </row>
    <row r="106" spans="1:4" ht="12.75">
      <c r="A106" s="81" t="s">
        <v>291</v>
      </c>
      <c r="B106" s="6"/>
      <c r="C106" s="13"/>
      <c r="D106" s="13"/>
    </row>
    <row r="107" spans="1:4" ht="12.75">
      <c r="A107" s="81" t="s">
        <v>292</v>
      </c>
      <c r="B107" s="6"/>
      <c r="C107" s="13"/>
      <c r="D107" s="13"/>
    </row>
    <row r="108" spans="1:4" ht="12.75">
      <c r="A108" s="81" t="s">
        <v>293</v>
      </c>
      <c r="B108" s="6"/>
      <c r="C108" s="13"/>
      <c r="D108" s="13"/>
    </row>
    <row r="109" spans="1:4" ht="12.75">
      <c r="A109" s="81" t="s">
        <v>294</v>
      </c>
      <c r="B109" s="6"/>
      <c r="C109" s="13"/>
      <c r="D109" s="13"/>
    </row>
    <row r="110" spans="1:4" ht="12.75">
      <c r="A110" s="81" t="s">
        <v>295</v>
      </c>
      <c r="B110" s="6"/>
      <c r="C110" s="13"/>
      <c r="D110" s="13"/>
    </row>
    <row r="111" spans="1:4" ht="12.75">
      <c r="A111" s="81" t="s">
        <v>296</v>
      </c>
      <c r="B111" s="6"/>
      <c r="C111" s="13"/>
      <c r="D111" s="13"/>
    </row>
    <row r="112" spans="1:4" ht="12.75">
      <c r="A112" s="81" t="s">
        <v>297</v>
      </c>
      <c r="B112" s="6"/>
      <c r="C112" s="13"/>
      <c r="D112" s="13"/>
    </row>
    <row r="113" spans="1:4" ht="12.75">
      <c r="A113" s="81" t="s">
        <v>298</v>
      </c>
      <c r="B113" s="6"/>
      <c r="C113" s="13"/>
      <c r="D113" s="13"/>
    </row>
    <row r="114" spans="1:4" ht="12.75">
      <c r="A114" s="81" t="s">
        <v>299</v>
      </c>
      <c r="B114" s="6"/>
      <c r="C114" s="13"/>
      <c r="D114" s="13">
        <v>8000</v>
      </c>
    </row>
    <row r="115" spans="1:4" ht="12.75">
      <c r="A115" s="6" t="s">
        <v>477</v>
      </c>
      <c r="B115" s="6"/>
      <c r="C115" s="13"/>
      <c r="D115" s="13"/>
    </row>
    <row r="116" spans="1:4" ht="12.75">
      <c r="A116" s="7" t="s">
        <v>85</v>
      </c>
      <c r="B116" s="8"/>
      <c r="C116" s="8"/>
      <c r="D116" s="17">
        <f>SUM(D88:D115)</f>
        <v>8000</v>
      </c>
    </row>
    <row r="117" spans="1:4" ht="12.75">
      <c r="A117" s="231" t="s">
        <v>463</v>
      </c>
      <c r="B117" s="231"/>
      <c r="C117" s="231"/>
      <c r="D117" s="231"/>
    </row>
    <row r="118" spans="1:4" ht="12.75">
      <c r="A118" s="248" t="s">
        <v>74</v>
      </c>
      <c r="B118" s="248"/>
      <c r="C118" s="248"/>
      <c r="D118" s="248"/>
    </row>
    <row r="119" spans="1:4" ht="38.25">
      <c r="A119" s="15" t="s">
        <v>251</v>
      </c>
      <c r="B119" s="6"/>
      <c r="C119" s="13"/>
      <c r="D119" s="13">
        <v>70</v>
      </c>
    </row>
    <row r="120" spans="1:4" ht="12.75">
      <c r="A120" s="6" t="s">
        <v>252</v>
      </c>
      <c r="B120" s="6"/>
      <c r="C120" s="13"/>
      <c r="D120" s="13">
        <f>'род плата'!C6</f>
        <v>18499.827999999998</v>
      </c>
    </row>
    <row r="121" spans="1:4" ht="25.5">
      <c r="A121" s="15" t="s">
        <v>253</v>
      </c>
      <c r="B121" s="6"/>
      <c r="C121" s="13"/>
      <c r="D121" s="71">
        <f>D119*D120</f>
        <v>1294987.9599999997</v>
      </c>
    </row>
    <row r="122" spans="1:4" ht="12.75">
      <c r="A122" s="7" t="s">
        <v>85</v>
      </c>
      <c r="B122" s="8"/>
      <c r="C122" s="8"/>
      <c r="D122" s="72">
        <f>D121</f>
        <v>1294987.9599999997</v>
      </c>
    </row>
    <row r="124" spans="1:4" ht="12.75">
      <c r="A124" s="231" t="s">
        <v>325</v>
      </c>
      <c r="B124" s="231"/>
      <c r="C124" s="231"/>
      <c r="D124" s="231"/>
    </row>
    <row r="125" spans="1:4" ht="12.75">
      <c r="A125" s="248" t="s">
        <v>74</v>
      </c>
      <c r="B125" s="248"/>
      <c r="C125" s="248"/>
      <c r="D125" s="248"/>
    </row>
    <row r="126" spans="1:4" ht="38.25">
      <c r="A126" s="15" t="s">
        <v>251</v>
      </c>
      <c r="B126" s="6"/>
      <c r="C126" s="13"/>
      <c r="D126" s="13">
        <v>70</v>
      </c>
    </row>
    <row r="127" spans="1:4" ht="12.75">
      <c r="A127" s="6" t="s">
        <v>252</v>
      </c>
      <c r="B127" s="6"/>
      <c r="C127" s="13"/>
      <c r="D127" s="13">
        <f>'род плата'!C12</f>
        <v>14900.009999999998</v>
      </c>
    </row>
    <row r="128" spans="1:4" ht="25.5">
      <c r="A128" s="15" t="s">
        <v>253</v>
      </c>
      <c r="B128" s="6"/>
      <c r="C128" s="13"/>
      <c r="D128" s="71">
        <f>D126*D127</f>
        <v>1043000.6999999998</v>
      </c>
    </row>
    <row r="129" spans="1:4" ht="12.75">
      <c r="A129" s="7" t="s">
        <v>85</v>
      </c>
      <c r="B129" s="8"/>
      <c r="C129" s="8"/>
      <c r="D129" s="72">
        <f>D128</f>
        <v>1043000.6999999998</v>
      </c>
    </row>
    <row r="139" spans="5:7" ht="12.75">
      <c r="E139" s="38">
        <f>D19+D27+D43+D56+D67+D85+D116</f>
        <v>105999.5</v>
      </c>
      <c r="F139">
        <v>301000</v>
      </c>
      <c r="G139" s="38">
        <f>F139-E139</f>
        <v>195000.5</v>
      </c>
    </row>
  </sheetData>
  <sheetProtection/>
  <mergeCells count="13">
    <mergeCell ref="A124:D124"/>
    <mergeCell ref="A125:D125"/>
    <mergeCell ref="A57:D57"/>
    <mergeCell ref="A69:D69"/>
    <mergeCell ref="A87:D87"/>
    <mergeCell ref="A118:D118"/>
    <mergeCell ref="A117:D117"/>
    <mergeCell ref="A28:D28"/>
    <mergeCell ref="A44:D44"/>
    <mergeCell ref="A1:D1"/>
    <mergeCell ref="A3:D3"/>
    <mergeCell ref="A7:D7"/>
    <mergeCell ref="A20:D20"/>
  </mergeCells>
  <printOptions/>
  <pageMargins left="0.5905511811023623" right="0.3937007874015748" top="0.3937007874015748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56"/>
  <sheetViews>
    <sheetView zoomScalePageLayoutView="0" workbookViewId="0" topLeftCell="A1">
      <selection activeCell="G46" sqref="G46"/>
    </sheetView>
  </sheetViews>
  <sheetFormatPr defaultColWidth="9.140625" defaultRowHeight="12.75"/>
  <cols>
    <col min="1" max="1" width="24.421875" style="0" customWidth="1"/>
    <col min="2" max="2" width="7.00390625" style="0" customWidth="1"/>
    <col min="3" max="3" width="8.00390625" style="0" customWidth="1"/>
    <col min="4" max="4" width="10.421875" style="0" customWidth="1"/>
    <col min="5" max="5" width="11.8515625" style="0" customWidth="1"/>
    <col min="6" max="6" width="10.421875" style="0" customWidth="1"/>
    <col min="7" max="7" width="7.28125" style="0" customWidth="1"/>
    <col min="8" max="8" width="9.421875" style="0" customWidth="1"/>
    <col min="10" max="10" width="10.57421875" style="0" bestFit="1" customWidth="1"/>
  </cols>
  <sheetData>
    <row r="2" spans="1:6" ht="12.75">
      <c r="A2" s="239" t="s">
        <v>168</v>
      </c>
      <c r="B2" s="239"/>
      <c r="C2" s="239"/>
      <c r="D2" s="239"/>
      <c r="E2" s="239"/>
      <c r="F2" s="239"/>
    </row>
    <row r="3" spans="1:4" ht="12.75">
      <c r="A3" s="33" t="s">
        <v>169</v>
      </c>
      <c r="B3" s="32" t="s">
        <v>107</v>
      </c>
      <c r="C3" s="32" t="s">
        <v>108</v>
      </c>
      <c r="D3" s="32" t="s">
        <v>109</v>
      </c>
    </row>
    <row r="4" spans="1:4" ht="12.75">
      <c r="A4" s="34" t="s">
        <v>271</v>
      </c>
      <c r="B4" s="6"/>
      <c r="C4" s="6">
        <v>24.12</v>
      </c>
      <c r="D4" s="6">
        <f>B4*C4</f>
        <v>0</v>
      </c>
    </row>
    <row r="5" spans="1:4" ht="12.75">
      <c r="A5" s="8" t="s">
        <v>85</v>
      </c>
      <c r="B5" s="8">
        <f>SUM(B4)</f>
        <v>0</v>
      </c>
      <c r="C5" s="8"/>
      <c r="D5" s="8">
        <f>SUM(D4)</f>
        <v>0</v>
      </c>
    </row>
    <row r="7" spans="1:7" ht="12.75">
      <c r="A7" s="239" t="s">
        <v>170</v>
      </c>
      <c r="B7" s="239"/>
      <c r="C7" s="239"/>
      <c r="D7" s="239"/>
      <c r="E7" s="239"/>
      <c r="F7" s="239"/>
      <c r="G7" s="239"/>
    </row>
    <row r="8" ht="12.75">
      <c r="A8" t="s">
        <v>300</v>
      </c>
    </row>
    <row r="9" spans="1:5" ht="12.75">
      <c r="A9" s="251" t="s">
        <v>169</v>
      </c>
      <c r="B9" s="252"/>
      <c r="C9" s="32" t="s">
        <v>107</v>
      </c>
      <c r="D9" s="32" t="s">
        <v>108</v>
      </c>
      <c r="E9" s="32" t="s">
        <v>109</v>
      </c>
    </row>
    <row r="10" spans="1:5" ht="12.75">
      <c r="A10" s="34" t="s">
        <v>271</v>
      </c>
      <c r="B10" s="6" t="s">
        <v>171</v>
      </c>
      <c r="C10" s="6">
        <v>702</v>
      </c>
      <c r="D10" s="6">
        <v>1384.08</v>
      </c>
      <c r="E10" s="13">
        <f>C10*D10+313</f>
        <v>971937.1599999999</v>
      </c>
    </row>
    <row r="11" spans="1:5" ht="12.75">
      <c r="A11" s="82"/>
      <c r="B11" s="6" t="s">
        <v>172</v>
      </c>
      <c r="C11" s="6">
        <v>1876</v>
      </c>
      <c r="D11" s="6">
        <v>23.49</v>
      </c>
      <c r="E11" s="13">
        <f>C11*D11</f>
        <v>44067.24</v>
      </c>
    </row>
    <row r="12" spans="1:5" ht="12.75">
      <c r="A12" s="8" t="s">
        <v>85</v>
      </c>
      <c r="B12" s="8"/>
      <c r="C12" s="8"/>
      <c r="D12" s="8"/>
      <c r="E12" s="17">
        <f>SUM(E10:E11)</f>
        <v>1016004.3999999999</v>
      </c>
    </row>
    <row r="15" spans="1:7" ht="12.75">
      <c r="A15" s="239" t="s">
        <v>173</v>
      </c>
      <c r="B15" s="239"/>
      <c r="C15" s="239"/>
      <c r="D15" s="239"/>
      <c r="E15" s="239"/>
      <c r="F15" s="239"/>
      <c r="G15" s="239"/>
    </row>
    <row r="16" spans="1:8" ht="51">
      <c r="A16" s="26" t="s">
        <v>174</v>
      </c>
      <c r="B16" s="26" t="s">
        <v>175</v>
      </c>
      <c r="C16" s="26" t="s">
        <v>176</v>
      </c>
      <c r="D16" s="26" t="s">
        <v>177</v>
      </c>
      <c r="E16" s="26" t="s">
        <v>178</v>
      </c>
      <c r="F16" s="26" t="s">
        <v>179</v>
      </c>
      <c r="G16" s="26" t="s">
        <v>180</v>
      </c>
      <c r="H16" s="26" t="s">
        <v>181</v>
      </c>
    </row>
    <row r="17" spans="1:8" ht="12.75">
      <c r="A17" s="6" t="s">
        <v>182</v>
      </c>
      <c r="B17" s="6">
        <v>26</v>
      </c>
      <c r="C17" s="6">
        <v>60</v>
      </c>
      <c r="D17" s="6">
        <f>C17*B17/1000</f>
        <v>1.56</v>
      </c>
      <c r="E17" s="6">
        <v>1000</v>
      </c>
      <c r="F17" s="6">
        <f>E17*D17</f>
        <v>1560</v>
      </c>
      <c r="G17" s="6">
        <v>2.34</v>
      </c>
      <c r="H17" s="13">
        <f>F17*G17</f>
        <v>3650.3999999999996</v>
      </c>
    </row>
    <row r="18" spans="1:8" ht="12.75">
      <c r="A18" s="6" t="s">
        <v>183</v>
      </c>
      <c r="B18" s="6">
        <v>138</v>
      </c>
      <c r="C18" s="6">
        <v>36</v>
      </c>
      <c r="D18" s="6">
        <f aca="true" t="shared" si="0" ref="D18:D38">C18*B18/1000</f>
        <v>4.968</v>
      </c>
      <c r="E18" s="6">
        <v>1000</v>
      </c>
      <c r="F18" s="6">
        <f aca="true" t="shared" si="1" ref="F18:F38">E18*D18</f>
        <v>4968</v>
      </c>
      <c r="G18" s="6">
        <v>2.34</v>
      </c>
      <c r="H18" s="13">
        <f aca="true" t="shared" si="2" ref="H18:H38">F18*G18</f>
        <v>11625.119999999999</v>
      </c>
    </row>
    <row r="19" spans="1:8" ht="12.75">
      <c r="A19" s="6" t="s">
        <v>183</v>
      </c>
      <c r="B19" s="6">
        <v>18</v>
      </c>
      <c r="C19" s="6">
        <v>18</v>
      </c>
      <c r="D19" s="6">
        <f t="shared" si="0"/>
        <v>0.324</v>
      </c>
      <c r="E19" s="6">
        <v>1000</v>
      </c>
      <c r="F19" s="6">
        <f t="shared" si="1"/>
        <v>324</v>
      </c>
      <c r="G19" s="6">
        <v>2.34</v>
      </c>
      <c r="H19" s="13">
        <f t="shared" si="2"/>
        <v>758.16</v>
      </c>
    </row>
    <row r="20" spans="1:8" ht="12.75">
      <c r="A20" s="6" t="s">
        <v>182</v>
      </c>
      <c r="B20" s="6">
        <v>105</v>
      </c>
      <c r="C20" s="6">
        <v>95</v>
      </c>
      <c r="D20" s="6">
        <f t="shared" si="0"/>
        <v>9.975</v>
      </c>
      <c r="E20" s="6">
        <v>957</v>
      </c>
      <c r="F20" s="6">
        <f t="shared" si="1"/>
        <v>9546.074999999999</v>
      </c>
      <c r="G20" s="6">
        <v>2.34</v>
      </c>
      <c r="H20" s="13">
        <f t="shared" si="2"/>
        <v>22337.815499999997</v>
      </c>
    </row>
    <row r="21" spans="1:8" ht="12.75">
      <c r="A21" s="6" t="s">
        <v>301</v>
      </c>
      <c r="B21" s="6">
        <v>8</v>
      </c>
      <c r="C21" s="6">
        <v>400</v>
      </c>
      <c r="D21" s="6">
        <f t="shared" si="0"/>
        <v>3.2</v>
      </c>
      <c r="E21" s="6">
        <f>365*8</f>
        <v>2920</v>
      </c>
      <c r="F21" s="6">
        <f t="shared" si="1"/>
        <v>9344</v>
      </c>
      <c r="G21" s="6">
        <v>2.34</v>
      </c>
      <c r="H21" s="13">
        <f t="shared" si="2"/>
        <v>21864.96</v>
      </c>
    </row>
    <row r="22" spans="1:8" ht="12.75">
      <c r="A22" s="6" t="s">
        <v>302</v>
      </c>
      <c r="B22" s="6">
        <v>1</v>
      </c>
      <c r="C22" s="6">
        <v>22800</v>
      </c>
      <c r="D22" s="6">
        <f t="shared" si="0"/>
        <v>22.8</v>
      </c>
      <c r="E22" s="6">
        <f>247*6</f>
        <v>1482</v>
      </c>
      <c r="F22" s="6">
        <f t="shared" si="1"/>
        <v>33789.6</v>
      </c>
      <c r="G22" s="6">
        <v>2.34</v>
      </c>
      <c r="H22" s="13">
        <f t="shared" si="2"/>
        <v>79067.66399999999</v>
      </c>
    </row>
    <row r="23" spans="1:8" ht="12.75">
      <c r="A23" s="6" t="s">
        <v>303</v>
      </c>
      <c r="B23" s="6">
        <v>3</v>
      </c>
      <c r="C23" s="6">
        <v>2660</v>
      </c>
      <c r="D23" s="6">
        <f t="shared" si="0"/>
        <v>7.98</v>
      </c>
      <c r="E23" s="6">
        <f>247*6</f>
        <v>1482</v>
      </c>
      <c r="F23" s="6">
        <f t="shared" si="1"/>
        <v>11826.36</v>
      </c>
      <c r="G23" s="6">
        <v>2.34</v>
      </c>
      <c r="H23" s="13">
        <f t="shared" si="2"/>
        <v>27673.682399999998</v>
      </c>
    </row>
    <row r="24" spans="1:8" ht="12.75">
      <c r="A24" s="6" t="s">
        <v>304</v>
      </c>
      <c r="B24" s="6">
        <v>1</v>
      </c>
      <c r="C24" s="6">
        <v>615</v>
      </c>
      <c r="D24" s="6">
        <f t="shared" si="0"/>
        <v>0.615</v>
      </c>
      <c r="E24" s="6">
        <v>247</v>
      </c>
      <c r="F24" s="6">
        <f t="shared" si="1"/>
        <v>151.905</v>
      </c>
      <c r="G24" s="6">
        <v>2.34</v>
      </c>
      <c r="H24" s="13">
        <f t="shared" si="2"/>
        <v>355.4577</v>
      </c>
    </row>
    <row r="25" spans="1:8" ht="12.75">
      <c r="A25" s="6" t="s">
        <v>194</v>
      </c>
      <c r="B25" s="6">
        <v>9</v>
      </c>
      <c r="C25" s="6">
        <v>135</v>
      </c>
      <c r="D25" s="6">
        <f t="shared" si="0"/>
        <v>1.215</v>
      </c>
      <c r="E25" s="6">
        <f>365*24</f>
        <v>8760</v>
      </c>
      <c r="F25" s="6">
        <f t="shared" si="1"/>
        <v>10643.400000000001</v>
      </c>
      <c r="G25" s="6">
        <v>2.34</v>
      </c>
      <c r="H25" s="13">
        <f t="shared" si="2"/>
        <v>24905.556</v>
      </c>
    </row>
    <row r="26" spans="1:8" ht="12.75">
      <c r="A26" s="6" t="s">
        <v>305</v>
      </c>
      <c r="B26" s="6">
        <v>2</v>
      </c>
      <c r="C26" s="6">
        <v>200</v>
      </c>
      <c r="D26" s="6">
        <f t="shared" si="0"/>
        <v>0.4</v>
      </c>
      <c r="E26" s="6">
        <f>365*24</f>
        <v>8760</v>
      </c>
      <c r="F26" s="6">
        <f t="shared" si="1"/>
        <v>3504</v>
      </c>
      <c r="G26" s="6">
        <v>2.34</v>
      </c>
      <c r="H26" s="13">
        <f t="shared" si="2"/>
        <v>8199.359999999999</v>
      </c>
    </row>
    <row r="27" spans="1:8" ht="12.75">
      <c r="A27" s="6" t="s">
        <v>306</v>
      </c>
      <c r="B27" s="6">
        <v>2</v>
      </c>
      <c r="C27" s="6">
        <v>145</v>
      </c>
      <c r="D27" s="6">
        <f t="shared" si="0"/>
        <v>0.29</v>
      </c>
      <c r="E27" s="6">
        <f>247*24</f>
        <v>5928</v>
      </c>
      <c r="F27" s="6">
        <f t="shared" si="1"/>
        <v>1719.12</v>
      </c>
      <c r="G27" s="6">
        <v>2.34</v>
      </c>
      <c r="H27" s="13">
        <f t="shared" si="2"/>
        <v>4022.7407999999996</v>
      </c>
    </row>
    <row r="28" spans="1:8" ht="12.75">
      <c r="A28" s="6" t="s">
        <v>307</v>
      </c>
      <c r="B28" s="6">
        <v>2</v>
      </c>
      <c r="C28" s="6">
        <v>1800</v>
      </c>
      <c r="D28" s="6">
        <f t="shared" si="0"/>
        <v>3.6</v>
      </c>
      <c r="E28" s="6">
        <f>247*3</f>
        <v>741</v>
      </c>
      <c r="F28" s="6">
        <f t="shared" si="1"/>
        <v>2667.6</v>
      </c>
      <c r="G28" s="6">
        <v>2.34</v>
      </c>
      <c r="H28" s="13">
        <f t="shared" si="2"/>
        <v>6242.183999999999</v>
      </c>
    </row>
    <row r="29" spans="1:8" ht="12.75">
      <c r="A29" s="6" t="s">
        <v>308</v>
      </c>
      <c r="B29" s="6">
        <v>4</v>
      </c>
      <c r="C29" s="6">
        <v>1500</v>
      </c>
      <c r="D29" s="6">
        <f t="shared" si="0"/>
        <v>6</v>
      </c>
      <c r="E29" s="6">
        <f>247*4</f>
        <v>988</v>
      </c>
      <c r="F29" s="6">
        <f t="shared" si="1"/>
        <v>5928</v>
      </c>
      <c r="G29" s="6">
        <v>2.34</v>
      </c>
      <c r="H29" s="13">
        <f t="shared" si="2"/>
        <v>13871.519999999999</v>
      </c>
    </row>
    <row r="30" spans="1:8" ht="12.75">
      <c r="A30" s="6" t="s">
        <v>309</v>
      </c>
      <c r="B30" s="6">
        <v>2</v>
      </c>
      <c r="C30" s="6">
        <v>1000</v>
      </c>
      <c r="D30" s="6">
        <f t="shared" si="0"/>
        <v>2</v>
      </c>
      <c r="E30" s="6">
        <f>247*4</f>
        <v>988</v>
      </c>
      <c r="F30" s="6">
        <f t="shared" si="1"/>
        <v>1976</v>
      </c>
      <c r="G30" s="6">
        <v>2.34</v>
      </c>
      <c r="H30" s="13">
        <f t="shared" si="2"/>
        <v>4623.84</v>
      </c>
    </row>
    <row r="31" spans="1:8" ht="12.75">
      <c r="A31" s="6" t="s">
        <v>263</v>
      </c>
      <c r="B31" s="6">
        <v>2</v>
      </c>
      <c r="C31" s="6">
        <v>18</v>
      </c>
      <c r="D31" s="6">
        <f t="shared" si="0"/>
        <v>0.036</v>
      </c>
      <c r="E31" s="6">
        <f>247*0.5</f>
        <v>123.5</v>
      </c>
      <c r="F31" s="6">
        <f t="shared" si="1"/>
        <v>4.446</v>
      </c>
      <c r="G31" s="6">
        <v>2.34</v>
      </c>
      <c r="H31" s="13">
        <f t="shared" si="2"/>
        <v>10.40364</v>
      </c>
    </row>
    <row r="32" spans="1:8" ht="12.75">
      <c r="A32" s="6" t="s">
        <v>184</v>
      </c>
      <c r="B32" s="6">
        <v>2</v>
      </c>
      <c r="C32" s="6">
        <v>400</v>
      </c>
      <c r="D32" s="6">
        <f t="shared" si="0"/>
        <v>0.8</v>
      </c>
      <c r="E32" s="6">
        <f>247*6</f>
        <v>1482</v>
      </c>
      <c r="F32" s="6">
        <f t="shared" si="1"/>
        <v>1185.6000000000001</v>
      </c>
      <c r="G32" s="6">
        <v>2.34</v>
      </c>
      <c r="H32" s="13">
        <f t="shared" si="2"/>
        <v>2774.304</v>
      </c>
    </row>
    <row r="33" spans="1:8" ht="12.75">
      <c r="A33" s="6" t="s">
        <v>264</v>
      </c>
      <c r="B33" s="6">
        <v>5</v>
      </c>
      <c r="C33" s="6">
        <v>60</v>
      </c>
      <c r="D33" s="6">
        <f t="shared" si="0"/>
        <v>0.3</v>
      </c>
      <c r="E33" s="6">
        <v>247</v>
      </c>
      <c r="F33" s="6">
        <f t="shared" si="1"/>
        <v>74.1</v>
      </c>
      <c r="G33" s="6">
        <v>2.34</v>
      </c>
      <c r="H33" s="13">
        <f t="shared" si="2"/>
        <v>173.39399999999998</v>
      </c>
    </row>
    <row r="34" spans="1:8" ht="12.75">
      <c r="A34" s="6" t="s">
        <v>185</v>
      </c>
      <c r="B34" s="6">
        <v>2</v>
      </c>
      <c r="C34" s="6">
        <v>400</v>
      </c>
      <c r="D34" s="6">
        <f t="shared" si="0"/>
        <v>0.8</v>
      </c>
      <c r="E34" s="6">
        <f>247*4</f>
        <v>988</v>
      </c>
      <c r="F34" s="6">
        <f t="shared" si="1"/>
        <v>790.4000000000001</v>
      </c>
      <c r="G34" s="6">
        <v>2.34</v>
      </c>
      <c r="H34" s="13">
        <f t="shared" si="2"/>
        <v>1849.536</v>
      </c>
    </row>
    <row r="35" spans="1:8" ht="12.75">
      <c r="A35" s="6" t="s">
        <v>310</v>
      </c>
      <c r="B35" s="6">
        <v>1</v>
      </c>
      <c r="C35" s="6">
        <v>26</v>
      </c>
      <c r="D35" s="6">
        <f t="shared" si="0"/>
        <v>0.026</v>
      </c>
      <c r="E35" s="6">
        <v>247</v>
      </c>
      <c r="F35" s="6">
        <f t="shared" si="1"/>
        <v>6.422</v>
      </c>
      <c r="G35" s="6">
        <v>2.34</v>
      </c>
      <c r="H35" s="13">
        <f t="shared" si="2"/>
        <v>15.027479999999999</v>
      </c>
    </row>
    <row r="36" spans="1:8" ht="12.75">
      <c r="A36" s="6" t="s">
        <v>262</v>
      </c>
      <c r="B36" s="6">
        <v>2</v>
      </c>
      <c r="C36" s="6">
        <v>2500</v>
      </c>
      <c r="D36" s="6">
        <f t="shared" si="0"/>
        <v>5</v>
      </c>
      <c r="E36" s="6">
        <f>90*8</f>
        <v>720</v>
      </c>
      <c r="F36" s="6">
        <f t="shared" si="1"/>
        <v>3600</v>
      </c>
      <c r="G36" s="6">
        <v>2.34</v>
      </c>
      <c r="H36" s="13">
        <f t="shared" si="2"/>
        <v>8424</v>
      </c>
    </row>
    <row r="37" spans="1:8" ht="12.75">
      <c r="A37" s="6" t="s">
        <v>311</v>
      </c>
      <c r="B37" s="6">
        <v>10</v>
      </c>
      <c r="C37" s="6">
        <v>1000</v>
      </c>
      <c r="D37" s="6">
        <f t="shared" si="0"/>
        <v>10</v>
      </c>
      <c r="E37" s="6">
        <f>90*7</f>
        <v>630</v>
      </c>
      <c r="F37" s="6">
        <f t="shared" si="1"/>
        <v>6300</v>
      </c>
      <c r="G37" s="6">
        <v>2.34</v>
      </c>
      <c r="H37" s="13">
        <f t="shared" si="2"/>
        <v>14742</v>
      </c>
    </row>
    <row r="38" spans="1:8" ht="12.75">
      <c r="A38" s="6" t="s">
        <v>195</v>
      </c>
      <c r="B38" s="6">
        <v>1</v>
      </c>
      <c r="C38" s="6">
        <v>1600</v>
      </c>
      <c r="D38" s="6">
        <f t="shared" si="0"/>
        <v>1.6</v>
      </c>
      <c r="E38" s="6">
        <f>247</f>
        <v>247</v>
      </c>
      <c r="F38" s="6">
        <f t="shared" si="1"/>
        <v>395.20000000000005</v>
      </c>
      <c r="G38" s="6">
        <v>2.34</v>
      </c>
      <c r="H38" s="13">
        <f t="shared" si="2"/>
        <v>924.768</v>
      </c>
    </row>
    <row r="39" spans="1:8" ht="12.75">
      <c r="A39" s="7" t="s">
        <v>85</v>
      </c>
      <c r="B39" s="8"/>
      <c r="C39" s="8"/>
      <c r="D39" s="8"/>
      <c r="E39" s="8"/>
      <c r="F39" s="8"/>
      <c r="G39" s="8"/>
      <c r="H39" s="17">
        <f>SUM(H17:H38)</f>
        <v>258111.89351999995</v>
      </c>
    </row>
    <row r="43" spans="1:7" ht="12.75">
      <c r="A43" s="239" t="s">
        <v>186</v>
      </c>
      <c r="B43" s="239"/>
      <c r="C43" s="239"/>
      <c r="D43" s="239"/>
      <c r="E43" s="239"/>
      <c r="F43" s="239"/>
      <c r="G43" s="239"/>
    </row>
    <row r="44" spans="1:8" ht="12.75">
      <c r="A44" s="32" t="s">
        <v>187</v>
      </c>
      <c r="B44" s="32" t="s">
        <v>188</v>
      </c>
      <c r="C44" s="32" t="s">
        <v>189</v>
      </c>
      <c r="D44" s="32" t="s">
        <v>190</v>
      </c>
      <c r="E44" s="32" t="s">
        <v>191</v>
      </c>
      <c r="F44" s="32" t="s">
        <v>192</v>
      </c>
      <c r="G44" s="32" t="s">
        <v>108</v>
      </c>
      <c r="H44" s="32" t="s">
        <v>109</v>
      </c>
    </row>
    <row r="45" spans="1:8" ht="12.75">
      <c r="A45" s="6" t="s">
        <v>193</v>
      </c>
      <c r="B45" s="6">
        <v>57</v>
      </c>
      <c r="C45" s="6">
        <v>0.009</v>
      </c>
      <c r="D45" s="6">
        <v>249</v>
      </c>
      <c r="E45" s="6"/>
      <c r="F45" s="13">
        <f>B45*C45*D45</f>
        <v>127.73700000000001</v>
      </c>
      <c r="G45" s="6">
        <v>19.34</v>
      </c>
      <c r="H45" s="13">
        <f aca="true" t="shared" si="3" ref="H45:H50">F45*G45</f>
        <v>2470.4335800000003</v>
      </c>
    </row>
    <row r="46" spans="1:8" ht="12.75">
      <c r="A46" s="6" t="s">
        <v>265</v>
      </c>
      <c r="B46" s="6">
        <v>220</v>
      </c>
      <c r="C46" s="6">
        <v>0.003</v>
      </c>
      <c r="D46" s="6">
        <v>249</v>
      </c>
      <c r="E46" s="6"/>
      <c r="F46" s="13">
        <f>B46*C46*D46</f>
        <v>164.34</v>
      </c>
      <c r="G46" s="6">
        <f>G45</f>
        <v>19.34</v>
      </c>
      <c r="H46" s="13">
        <f t="shared" si="3"/>
        <v>3178.3356</v>
      </c>
    </row>
    <row r="47" spans="1:8" ht="12.75">
      <c r="A47" s="6" t="s">
        <v>312</v>
      </c>
      <c r="B47" s="6">
        <v>31</v>
      </c>
      <c r="C47" s="6">
        <v>0.04</v>
      </c>
      <c r="D47" s="6">
        <v>249</v>
      </c>
      <c r="E47" s="6">
        <v>5</v>
      </c>
      <c r="F47" s="13">
        <f>B47*C47*D47*E47</f>
        <v>1543.8</v>
      </c>
      <c r="G47" s="6">
        <f>G46</f>
        <v>19.34</v>
      </c>
      <c r="H47" s="13">
        <f t="shared" si="3"/>
        <v>29857.092</v>
      </c>
    </row>
    <row r="48" spans="1:8" ht="12.75">
      <c r="A48" s="6" t="s">
        <v>313</v>
      </c>
      <c r="B48" s="6">
        <v>16</v>
      </c>
      <c r="C48" s="6">
        <v>0.28</v>
      </c>
      <c r="D48" s="6">
        <v>249</v>
      </c>
      <c r="E48" s="6">
        <v>5</v>
      </c>
      <c r="F48" s="13">
        <f>B48*C48*D48*E48</f>
        <v>5577.600000000001</v>
      </c>
      <c r="G48" s="6">
        <f>G47</f>
        <v>19.34</v>
      </c>
      <c r="H48" s="13">
        <f t="shared" si="3"/>
        <v>107870.78400000003</v>
      </c>
    </row>
    <row r="49" spans="1:8" ht="12.75">
      <c r="A49" s="6" t="s">
        <v>314</v>
      </c>
      <c r="B49" s="6">
        <v>12</v>
      </c>
      <c r="C49" s="6">
        <v>0.2</v>
      </c>
      <c r="D49" s="6">
        <v>249</v>
      </c>
      <c r="E49" s="6">
        <v>4</v>
      </c>
      <c r="F49" s="13">
        <f>B49*C49*D49*E49</f>
        <v>2390.4000000000005</v>
      </c>
      <c r="G49" s="6">
        <f>G48</f>
        <v>19.34</v>
      </c>
      <c r="H49" s="13">
        <f t="shared" si="3"/>
        <v>46230.33600000001</v>
      </c>
    </row>
    <row r="50" spans="1:8" ht="12.75">
      <c r="A50" s="6" t="s">
        <v>196</v>
      </c>
      <c r="B50" s="6">
        <v>24</v>
      </c>
      <c r="C50" s="6">
        <v>0.083</v>
      </c>
      <c r="D50" s="6">
        <v>249</v>
      </c>
      <c r="E50" s="6">
        <v>4</v>
      </c>
      <c r="F50" s="13">
        <f>B50*C50*D50*E50</f>
        <v>1984.032</v>
      </c>
      <c r="G50" s="6">
        <f>G49</f>
        <v>19.34</v>
      </c>
      <c r="H50" s="13">
        <f t="shared" si="3"/>
        <v>38371.17888</v>
      </c>
    </row>
    <row r="51" spans="1:8" ht="12.75">
      <c r="A51" s="7" t="s">
        <v>85</v>
      </c>
      <c r="B51" s="8"/>
      <c r="C51" s="8"/>
      <c r="D51" s="8"/>
      <c r="E51" s="8"/>
      <c r="F51" s="17">
        <f>SUM(F45:F50)</f>
        <v>11787.909</v>
      </c>
      <c r="G51" s="8"/>
      <c r="H51" s="17">
        <f>SUM(H45:H50)</f>
        <v>227978.16006000002</v>
      </c>
    </row>
    <row r="56" spans="10:12" ht="12.75">
      <c r="J56" s="38">
        <f>D5+E12+H39+H51</f>
        <v>1502094.45358</v>
      </c>
      <c r="K56">
        <v>1347000</v>
      </c>
      <c r="L56" s="38">
        <f>K56-J56</f>
        <v>-155094.45357999997</v>
      </c>
    </row>
  </sheetData>
  <sheetProtection/>
  <mergeCells count="5">
    <mergeCell ref="A43:G43"/>
    <mergeCell ref="A2:F2"/>
    <mergeCell ref="A7:G7"/>
    <mergeCell ref="A9:B9"/>
    <mergeCell ref="A15:G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BDY</cp:lastModifiedBy>
  <cp:lastPrinted>2015-01-23T07:28:23Z</cp:lastPrinted>
  <dcterms:created xsi:type="dcterms:W3CDTF">1996-10-08T23:32:33Z</dcterms:created>
  <dcterms:modified xsi:type="dcterms:W3CDTF">2015-01-23T08:09:09Z</dcterms:modified>
  <cp:category/>
  <cp:version/>
  <cp:contentType/>
  <cp:contentStatus/>
</cp:coreProperties>
</file>